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45" windowHeight="83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<sst xmlns="http://schemas.openxmlformats.org/spreadsheetml/2006/main" count="2353" uniqueCount="593">
  <si>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</si>
  <si>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</si>
  <si>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</si>
  <si>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</si>
  <si>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№ по     ред</t>
  </si>
  <si>
    <t>Землище</t>
  </si>
  <si>
    <t>Номер на имота</t>
  </si>
  <si>
    <t>Местност</t>
  </si>
  <si>
    <t>К-я на имота</t>
  </si>
  <si>
    <t>Площ на имота в дка</t>
  </si>
  <si>
    <t>Лозята</t>
  </si>
  <si>
    <t>V</t>
  </si>
  <si>
    <t>Лозе</t>
  </si>
  <si>
    <t>Горно кюше</t>
  </si>
  <si>
    <t>нива</t>
  </si>
  <si>
    <t>Цонев баир</t>
  </si>
  <si>
    <t>IV</t>
  </si>
  <si>
    <t>Бозалъка</t>
  </si>
  <si>
    <t>VI</t>
  </si>
  <si>
    <t>ІV</t>
  </si>
  <si>
    <t>III</t>
  </si>
  <si>
    <t>VIII</t>
  </si>
  <si>
    <t>.........................</t>
  </si>
  <si>
    <t>ІХ</t>
  </si>
  <si>
    <t>Новите лозя</t>
  </si>
  <si>
    <t>лозе</t>
  </si>
  <si>
    <t>Кабалъка</t>
  </si>
  <si>
    <t>IХ</t>
  </si>
  <si>
    <t>Нива</t>
  </si>
  <si>
    <t>Читал дере</t>
  </si>
  <si>
    <t>Юрта</t>
  </si>
  <si>
    <t>Черния мост</t>
  </si>
  <si>
    <t>ІІІ</t>
  </si>
  <si>
    <t>из.нива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</si>
  <si>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</si>
  <si>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</si>
  <si>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</si>
  <si>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</si>
  <si>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</si>
  <si>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</si>
  <si>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</si>
  <si>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...................</t>
  </si>
  <si>
    <t>До село</t>
  </si>
  <si>
    <t>Прангата</t>
  </si>
  <si>
    <t>Карабаир</t>
  </si>
  <si>
    <t>Кара баир</t>
  </si>
  <si>
    <t>Чолак.кайряк</t>
  </si>
  <si>
    <t>Из. нива</t>
  </si>
  <si>
    <t>Люлката</t>
  </si>
  <si>
    <t>Стублика</t>
  </si>
  <si>
    <t>неизп.нива</t>
  </si>
  <si>
    <t>с.Чернозем</t>
  </si>
  <si>
    <t>VІІІ</t>
  </si>
  <si>
    <t>Вехтите лозя</t>
  </si>
  <si>
    <t>Бештепе</t>
  </si>
  <si>
    <t>Съртърла</t>
  </si>
  <si>
    <t>VІІ</t>
  </si>
  <si>
    <t>Под тепето</t>
  </si>
  <si>
    <t>Гермалъка</t>
  </si>
  <si>
    <t>II</t>
  </si>
  <si>
    <t>с.Жребино</t>
  </si>
  <si>
    <t xml:space="preserve">с.Лалково </t>
  </si>
  <si>
    <t>Чемширки</t>
  </si>
  <si>
    <t>Бяла пръст</t>
  </si>
  <si>
    <t>с.Маломирово</t>
  </si>
  <si>
    <t>Горна река</t>
  </si>
  <si>
    <t>с.Гранитово</t>
  </si>
  <si>
    <t>Друма</t>
  </si>
  <si>
    <t>Чуките</t>
  </si>
  <si>
    <t>Коджараслъ</t>
  </si>
  <si>
    <t>Селски лозя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</si>
  <si>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</si>
  <si>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</si>
  <si>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</si>
  <si>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</si>
  <si>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</si>
  <si>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</si>
  <si>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</si>
  <si>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</si>
  <si>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</si>
  <si>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</si>
  <si>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с.М.Кирилово</t>
  </si>
  <si>
    <t>Бял камък</t>
  </si>
  <si>
    <t>Ирилийско дере</t>
  </si>
  <si>
    <t>с.Лесово</t>
  </si>
  <si>
    <t>НТП</t>
  </si>
  <si>
    <t>43459.21.76</t>
  </si>
  <si>
    <t>43459.67.402</t>
  </si>
  <si>
    <t>43459.67.82</t>
  </si>
  <si>
    <t>43459.67.79</t>
  </si>
  <si>
    <t>Обща сума</t>
  </si>
  <si>
    <t>из.орна земя</t>
  </si>
  <si>
    <t>Байруди</t>
  </si>
  <si>
    <t>Чакъров клад.</t>
  </si>
  <si>
    <t>из. Орна земя</t>
  </si>
  <si>
    <t>Стражата</t>
  </si>
  <si>
    <t>Дамнаджик</t>
  </si>
  <si>
    <t>………………..</t>
  </si>
  <si>
    <t>Могилата</t>
  </si>
  <si>
    <t>Пандерица</t>
  </si>
  <si>
    <t>Меселима</t>
  </si>
  <si>
    <t>Пенчев дол</t>
  </si>
  <si>
    <t>Старите лозя</t>
  </si>
  <si>
    <t>…………………</t>
  </si>
  <si>
    <t>Карач дере</t>
  </si>
  <si>
    <t>Неделчовец</t>
  </si>
  <si>
    <t>Черковния бряст</t>
  </si>
  <si>
    <t>Каба ира</t>
  </si>
  <si>
    <t>Карджов дол</t>
  </si>
  <si>
    <t>Леската</t>
  </si>
  <si>
    <t>Трънкосливките</t>
  </si>
  <si>
    <t>Кабата</t>
  </si>
  <si>
    <t>27382.101.6</t>
  </si>
  <si>
    <t>27382.101.2</t>
  </si>
  <si>
    <t>27382.14.301</t>
  </si>
  <si>
    <t>27382.53.132</t>
  </si>
  <si>
    <t>46904.50.13</t>
  </si>
  <si>
    <t>46904.22.72</t>
  </si>
  <si>
    <t>46904.29.140</t>
  </si>
  <si>
    <t>46904.10.98</t>
  </si>
  <si>
    <t>46904.17.316</t>
  </si>
  <si>
    <t>46904.17.330</t>
  </si>
  <si>
    <t>46904.24.37</t>
  </si>
  <si>
    <t>46904.29.43</t>
  </si>
  <si>
    <t>46904.32.30</t>
  </si>
  <si>
    <t>46904.44.33</t>
  </si>
  <si>
    <t>69883.46.73</t>
  </si>
  <si>
    <t>47768.34.273</t>
  </si>
  <si>
    <t>47768.13.97</t>
  </si>
  <si>
    <t>47768.13.106</t>
  </si>
  <si>
    <t>47768.19.28</t>
  </si>
  <si>
    <t>47768.21.94</t>
  </si>
  <si>
    <t>47768.23.10</t>
  </si>
  <si>
    <t>47768.23.11</t>
  </si>
  <si>
    <t>47768.23.26</t>
  </si>
  <si>
    <t>47768.26.84</t>
  </si>
  <si>
    <t>47768.27.68</t>
  </si>
  <si>
    <t>47768.27.70</t>
  </si>
  <si>
    <t>47768.31.1</t>
  </si>
  <si>
    <t>Ковалък дере</t>
  </si>
  <si>
    <t>21542.11.80</t>
  </si>
  <si>
    <t>21542.12.1</t>
  </si>
  <si>
    <t>61738.22.16</t>
  </si>
  <si>
    <t>66980.12.19</t>
  </si>
  <si>
    <t>66980.22.3</t>
  </si>
  <si>
    <t>66980.23.9</t>
  </si>
  <si>
    <t>66980.24.3</t>
  </si>
  <si>
    <t>66980.24.4</t>
  </si>
  <si>
    <t>81121.502.203</t>
  </si>
  <si>
    <t>81121.220.205</t>
  </si>
  <si>
    <t>81121.360.140</t>
  </si>
  <si>
    <t>29516.47.213</t>
  </si>
  <si>
    <t>29516.11.30</t>
  </si>
  <si>
    <t>29516.12.16</t>
  </si>
  <si>
    <t>29516.13.185</t>
  </si>
  <si>
    <t>29516.31.60</t>
  </si>
  <si>
    <t>43116.28.6</t>
  </si>
  <si>
    <t>46797.13.156</t>
  </si>
  <si>
    <t>46797.14.62</t>
  </si>
  <si>
    <t>46797.17.57</t>
  </si>
  <si>
    <t>17748.17.49</t>
  </si>
  <si>
    <t>17748.20.52</t>
  </si>
  <si>
    <t>17748.21.7</t>
  </si>
  <si>
    <t>17748.21.16</t>
  </si>
  <si>
    <t>17748.26.85</t>
  </si>
  <si>
    <t>17748.32.70</t>
  </si>
  <si>
    <t>17748.33.7</t>
  </si>
  <si>
    <t>17748.56.96</t>
  </si>
  <si>
    <t>17748.58.53</t>
  </si>
  <si>
    <t>46615.1.65</t>
  </si>
  <si>
    <t>46615.7.1</t>
  </si>
  <si>
    <t>46615.11.5</t>
  </si>
  <si>
    <t>27382.26.120</t>
  </si>
  <si>
    <t>47768.31.486</t>
  </si>
  <si>
    <t>05520.10.216</t>
  </si>
  <si>
    <t>05520.10.217</t>
  </si>
  <si>
    <t>05520.24.4</t>
  </si>
  <si>
    <t>05520.24.6</t>
  </si>
  <si>
    <t>05520.28.90</t>
  </si>
  <si>
    <t>06001.18.201</t>
  </si>
  <si>
    <t>06001.2.9</t>
  </si>
  <si>
    <t>06001.3.40</t>
  </si>
  <si>
    <t>06001.3.41</t>
  </si>
  <si>
    <t>06001.3.48</t>
  </si>
  <si>
    <t>06001.3.998</t>
  </si>
  <si>
    <t>06001.90.214</t>
  </si>
  <si>
    <t>06001.90.278</t>
  </si>
  <si>
    <t>06001.90.322</t>
  </si>
  <si>
    <t>06001.90.338</t>
  </si>
  <si>
    <t>06001.90.344</t>
  </si>
  <si>
    <t>06001.90.348</t>
  </si>
  <si>
    <t>06001.90.353</t>
  </si>
  <si>
    <t>06001.90.378</t>
  </si>
  <si>
    <t>06001.90.384</t>
  </si>
  <si>
    <t>06001.90.387</t>
  </si>
  <si>
    <t>06001.90.396</t>
  </si>
  <si>
    <t>06001.90.400</t>
  </si>
  <si>
    <t>06001.90.412</t>
  </si>
  <si>
    <t>06001.90.418</t>
  </si>
  <si>
    <t>06001.90.424</t>
  </si>
  <si>
    <t>06001.90.430</t>
  </si>
  <si>
    <t>06001.90.437</t>
  </si>
  <si>
    <t>06001.90.444</t>
  </si>
  <si>
    <t>06001.90.468</t>
  </si>
  <si>
    <t>06001.90.478</t>
  </si>
  <si>
    <t>06001.90.480</t>
  </si>
  <si>
    <t>06001.90.488</t>
  </si>
  <si>
    <t>06001.90.499</t>
  </si>
  <si>
    <t>06001.90.505</t>
  </si>
  <si>
    <t>06001.90.508</t>
  </si>
  <si>
    <t>06001.90.523</t>
  </si>
  <si>
    <t>06001.90.537</t>
  </si>
  <si>
    <t>06001.90.540</t>
  </si>
  <si>
    <t>06001.90.548</t>
  </si>
  <si>
    <t>06001.90.560</t>
  </si>
  <si>
    <t>06001.90.562</t>
  </si>
  <si>
    <t>06001.90.603</t>
  </si>
  <si>
    <t>06001.90.605</t>
  </si>
  <si>
    <t>06001.90.616</t>
  </si>
  <si>
    <t>06001.90.621</t>
  </si>
  <si>
    <t>06001.90.65</t>
  </si>
  <si>
    <t>06001.90.695</t>
  </si>
  <si>
    <t>06001.90.706</t>
  </si>
  <si>
    <t>06001.90.723</t>
  </si>
  <si>
    <t>06001.90.741</t>
  </si>
  <si>
    <t>06001.90.831</t>
  </si>
  <si>
    <t>06001.91.167</t>
  </si>
  <si>
    <t>06001.91.263</t>
  </si>
  <si>
    <t>06001.91.470</t>
  </si>
  <si>
    <t>06001.91.507</t>
  </si>
  <si>
    <t>06001.91.508</t>
  </si>
  <si>
    <t>06001.91.550</t>
  </si>
  <si>
    <t>06001.91.553</t>
  </si>
  <si>
    <t>06001.91.56</t>
  </si>
  <si>
    <t>06001.91.74</t>
  </si>
  <si>
    <t>06001.91.78</t>
  </si>
  <si>
    <t>06001.91.80</t>
  </si>
  <si>
    <t>17748.44.38</t>
  </si>
  <si>
    <t>17748.50.218</t>
  </si>
  <si>
    <t>17748.50.386</t>
  </si>
  <si>
    <t>17748.50.496</t>
  </si>
  <si>
    <t>17748.50.693</t>
  </si>
  <si>
    <t>17748.50.792</t>
  </si>
  <si>
    <t>17748.50.797</t>
  </si>
  <si>
    <t>17748.55.15</t>
  </si>
  <si>
    <t>17748.56.13</t>
  </si>
  <si>
    <t>17748.56.19</t>
  </si>
  <si>
    <t>17748.56.90</t>
  </si>
  <si>
    <t>17748.57.34</t>
  </si>
  <si>
    <t>17748.57.4</t>
  </si>
  <si>
    <t>17748.58.15</t>
  </si>
  <si>
    <t>17748.58.37</t>
  </si>
  <si>
    <t>17748.61.76</t>
  </si>
  <si>
    <t>17748.62.44</t>
  </si>
  <si>
    <t>17748.62.60</t>
  </si>
  <si>
    <t>17748.62.69</t>
  </si>
  <si>
    <t>17748.62.70</t>
  </si>
  <si>
    <t>17748.64.9</t>
  </si>
  <si>
    <t>17748.80.251</t>
  </si>
  <si>
    <t>17748.80.254</t>
  </si>
  <si>
    <t>17748.94.37</t>
  </si>
  <si>
    <t>17748.94.38</t>
  </si>
  <si>
    <t>17748.94.39</t>
  </si>
  <si>
    <t>27382.49.110</t>
  </si>
  <si>
    <t>27382.76.344</t>
  </si>
  <si>
    <t>Из.Орна земя</t>
  </si>
  <si>
    <t>29516.11.12</t>
  </si>
  <si>
    <t>29516.12.54</t>
  </si>
  <si>
    <t>29516.12.65</t>
  </si>
  <si>
    <t>29516.13.112</t>
  </si>
  <si>
    <t>29516.13.122</t>
  </si>
  <si>
    <t>29516.13.130</t>
  </si>
  <si>
    <t>29516.13.139</t>
  </si>
  <si>
    <t>29516.13.142</t>
  </si>
  <si>
    <t>29516.13.181</t>
  </si>
  <si>
    <t>29516.13.207</t>
  </si>
  <si>
    <t>29516.13.210</t>
  </si>
  <si>
    <t>29516.13.22</t>
  </si>
  <si>
    <t>29516.13.259</t>
  </si>
  <si>
    <t>29516.13.261</t>
  </si>
  <si>
    <t>29516.13.262</t>
  </si>
  <si>
    <t>29516.13.37</t>
  </si>
  <si>
    <t>29516.13.443</t>
  </si>
  <si>
    <t>29516.13.46</t>
  </si>
  <si>
    <t>29516.13.58</t>
  </si>
  <si>
    <t>29516.13.64</t>
  </si>
  <si>
    <t>29516.13.82</t>
  </si>
  <si>
    <t>29516.13.90</t>
  </si>
  <si>
    <t>29516.14.1</t>
  </si>
  <si>
    <t>29516.14.42</t>
  </si>
  <si>
    <t>29516.14.65</t>
  </si>
  <si>
    <t>29516.14.73</t>
  </si>
  <si>
    <t>29516.14.79</t>
  </si>
  <si>
    <t>29516.14.83</t>
  </si>
  <si>
    <t>29516.14.85</t>
  </si>
  <si>
    <t>29516.14.86</t>
  </si>
  <si>
    <t>29516.14.89</t>
  </si>
  <si>
    <t>29516.50.710</t>
  </si>
  <si>
    <t>32576.100.46</t>
  </si>
  <si>
    <t>32576.100.57</t>
  </si>
  <si>
    <t>32576.600.1</t>
  </si>
  <si>
    <t>32576.600.32</t>
  </si>
  <si>
    <t>32576.600.37</t>
  </si>
  <si>
    <t>32576.600.398</t>
  </si>
  <si>
    <t>32576.600.469</t>
  </si>
  <si>
    <t>46797.35.1</t>
  </si>
  <si>
    <t>46797.38.32</t>
  </si>
  <si>
    <t>Из.орна земя</t>
  </si>
  <si>
    <t>46904.17.312</t>
  </si>
  <si>
    <t>46904.17.313</t>
  </si>
  <si>
    <t>46904.17.314</t>
  </si>
  <si>
    <t>46904.17.315</t>
  </si>
  <si>
    <t>46904.17.317</t>
  </si>
  <si>
    <t>46904.17.319</t>
  </si>
  <si>
    <t>46904.17.334</t>
  </si>
  <si>
    <t>46904.17.384</t>
  </si>
  <si>
    <t>46904.17.45</t>
  </si>
  <si>
    <t>46904.17.50</t>
  </si>
  <si>
    <t>46904.17.511</t>
  </si>
  <si>
    <t>46904.17.906</t>
  </si>
  <si>
    <t>46904.18.432</t>
  </si>
  <si>
    <t>46904.18.901</t>
  </si>
  <si>
    <t>46904.71.40</t>
  </si>
  <si>
    <t>58801.440.264</t>
  </si>
  <si>
    <t>58801.440.274</t>
  </si>
  <si>
    <t>61738.24.83</t>
  </si>
  <si>
    <t>69883.1.41</t>
  </si>
  <si>
    <t>46615.16.44</t>
  </si>
  <si>
    <t>46615.16.45</t>
  </si>
  <si>
    <t>Стойнови поляни</t>
  </si>
  <si>
    <t>Марка</t>
  </si>
  <si>
    <t>Пръстенка</t>
  </si>
  <si>
    <t>Касаюрт</t>
  </si>
  <si>
    <t>Караиванка</t>
  </si>
  <si>
    <t>Денджелия</t>
  </si>
  <si>
    <t>…………</t>
  </si>
  <si>
    <t>Краището</t>
  </si>
  <si>
    <t>Селска река</t>
  </si>
  <si>
    <t>Воденична река</t>
  </si>
  <si>
    <t>Отвъд яръма</t>
  </si>
  <si>
    <t>Голяма шабаница</t>
  </si>
  <si>
    <t>Мараджийка</t>
  </si>
  <si>
    <t>Пладнището</t>
  </si>
  <si>
    <t>47768.18.286</t>
  </si>
  <si>
    <t>47768.19.363</t>
  </si>
  <si>
    <t>47768.19.365</t>
  </si>
  <si>
    <t>47768.19.368</t>
  </si>
  <si>
    <t>47768.19.381</t>
  </si>
  <si>
    <t>47768.20.120</t>
  </si>
  <si>
    <t>47768.21.10</t>
  </si>
  <si>
    <t>47768.21.101</t>
  </si>
  <si>
    <t>47768.21.38</t>
  </si>
  <si>
    <t>47768.21.45</t>
  </si>
  <si>
    <t>47768.21.56</t>
  </si>
  <si>
    <t>47768.21.69</t>
  </si>
  <si>
    <t>47768.23.690</t>
  </si>
  <si>
    <t>47768.26.83</t>
  </si>
  <si>
    <t>47768.27.41</t>
  </si>
  <si>
    <t>47768.33.121</t>
  </si>
  <si>
    <t>47768.33.93</t>
  </si>
  <si>
    <t>47768.34.10</t>
  </si>
  <si>
    <t>47768.34.7</t>
  </si>
  <si>
    <t>47768.34.8</t>
  </si>
  <si>
    <t>Гермалъци</t>
  </si>
  <si>
    <t>……….</t>
  </si>
  <si>
    <t>Корията</t>
  </si>
  <si>
    <t>Киров дол</t>
  </si>
  <si>
    <t>Порков баир</t>
  </si>
  <si>
    <t>Бахчите</t>
  </si>
  <si>
    <t>29516.13.127</t>
  </si>
  <si>
    <t>с.В.Поляна</t>
  </si>
  <si>
    <t>с.Г.Дервент</t>
  </si>
  <si>
    <t>с.Пчела</t>
  </si>
  <si>
    <t>с.Славейково</t>
  </si>
  <si>
    <t>с.Раздел</t>
  </si>
  <si>
    <t>с.Добрич</t>
  </si>
  <si>
    <t>с.Мелница</t>
  </si>
  <si>
    <t>с.М.Манастир</t>
  </si>
  <si>
    <t>с.Бояново</t>
  </si>
  <si>
    <t>с.Стройно</t>
  </si>
  <si>
    <t>с.Изгрев</t>
  </si>
  <si>
    <t>с.Борисово</t>
  </si>
  <si>
    <t>гр.Елхово</t>
  </si>
  <si>
    <t>Орта баир</t>
  </si>
  <si>
    <t>Вехта стража</t>
  </si>
  <si>
    <t>Дебела кория</t>
  </si>
  <si>
    <t>Борбука</t>
  </si>
  <si>
    <t>15730.14.78</t>
  </si>
  <si>
    <t>15730.15.25</t>
  </si>
  <si>
    <t>15730.25.31</t>
  </si>
  <si>
    <t>15730.38.55</t>
  </si>
  <si>
    <t>15730.47.5</t>
  </si>
  <si>
    <t>15730.48.4</t>
  </si>
  <si>
    <t>15730.56.16</t>
  </si>
  <si>
    <t>15730.58.11</t>
  </si>
  <si>
    <t>15730.58.13</t>
  </si>
  <si>
    <t>15730.58.38</t>
  </si>
  <si>
    <t>12530.10.30</t>
  </si>
  <si>
    <t>12530.14.55</t>
  </si>
  <si>
    <t>12530.13.51</t>
  </si>
  <si>
    <t>12530.15.75</t>
  </si>
  <si>
    <t>12530.23.96</t>
  </si>
  <si>
    <t>12530.23.97</t>
  </si>
  <si>
    <t>12530.25.99</t>
  </si>
  <si>
    <t>12530.21.289</t>
  </si>
  <si>
    <t>12530.18.299</t>
  </si>
  <si>
    <t>12530.24.308</t>
  </si>
  <si>
    <t>12530.24.309</t>
  </si>
  <si>
    <t>12530.24.310</t>
  </si>
  <si>
    <t>12530.24.311</t>
  </si>
  <si>
    <t>12530.23.332</t>
  </si>
  <si>
    <t>12530.23.333</t>
  </si>
  <si>
    <t>12530.10.363</t>
  </si>
  <si>
    <t>12530.23.365</t>
  </si>
  <si>
    <t>12530.18.406</t>
  </si>
  <si>
    <t>12530.24.600</t>
  </si>
  <si>
    <t>12530.18.173</t>
  </si>
  <si>
    <t>12530.22.52</t>
  </si>
  <si>
    <t>12530.22.62</t>
  </si>
  <si>
    <t>12530.22.72</t>
  </si>
  <si>
    <t>12530.22.118</t>
  </si>
  <si>
    <t>12530.23.57</t>
  </si>
  <si>
    <t>27382.71.280</t>
  </si>
  <si>
    <t>27382.71.320</t>
  </si>
  <si>
    <t>Торлозови мочури</t>
  </si>
  <si>
    <t>47768.17.9</t>
  </si>
  <si>
    <t>66980.15.1</t>
  </si>
  <si>
    <t>66980.15.45</t>
  </si>
  <si>
    <t>43459.67.230</t>
  </si>
  <si>
    <t>Йос кашла</t>
  </si>
  <si>
    <t>Саръ гьол</t>
  </si>
  <si>
    <t>69883.41.15</t>
  </si>
  <si>
    <t>Райкова могила</t>
  </si>
  <si>
    <t>69883.105.30</t>
  </si>
  <si>
    <t>Върха</t>
  </si>
  <si>
    <t>12530.16.11</t>
  </si>
  <si>
    <t>Адърица</t>
  </si>
  <si>
    <t>12530.23.6</t>
  </si>
  <si>
    <t>12530.25.4</t>
  </si>
  <si>
    <t>32576.14.1</t>
  </si>
  <si>
    <t>Чобан бунар</t>
  </si>
  <si>
    <t>32576.100.43</t>
  </si>
  <si>
    <t>32576.53.1</t>
  </si>
  <si>
    <t>Татла бунар</t>
  </si>
  <si>
    <t>29516.13.85</t>
  </si>
  <si>
    <t xml:space="preserve">Лозята </t>
  </si>
  <si>
    <t>29516.52.152</t>
  </si>
  <si>
    <t>Бели камък</t>
  </si>
  <si>
    <t>29516.42.14</t>
  </si>
  <si>
    <t>Гръковица</t>
  </si>
  <si>
    <t>29516.50.8</t>
  </si>
  <si>
    <t>Конски гробища</t>
  </si>
  <si>
    <t>29516.52.16</t>
  </si>
  <si>
    <t>29516.63.1</t>
  </si>
  <si>
    <t>29516.64.11</t>
  </si>
  <si>
    <t>Драката</t>
  </si>
  <si>
    <t>29516.64.13</t>
  </si>
  <si>
    <t>29516.31.150</t>
  </si>
  <si>
    <t>29516.54.33</t>
  </si>
  <si>
    <t>Коравата могила</t>
  </si>
  <si>
    <t>29516.22.40</t>
  </si>
  <si>
    <t>Шаламанка</t>
  </si>
  <si>
    <t>29516.31.54</t>
  </si>
  <si>
    <t>29516.31.68</t>
  </si>
  <si>
    <t>29516.54.9</t>
  </si>
  <si>
    <t>29516.59.2</t>
  </si>
  <si>
    <t>Куршума</t>
  </si>
  <si>
    <t>29516.31.109</t>
  </si>
  <si>
    <t>29516.50.72</t>
  </si>
  <si>
    <t>29516.54.27</t>
  </si>
  <si>
    <t>29516.32.2</t>
  </si>
  <si>
    <t>29516.53.85</t>
  </si>
  <si>
    <t>Солен кладенец</t>
  </si>
  <si>
    <t>29516.64.2</t>
  </si>
  <si>
    <t xml:space="preserve">Драката </t>
  </si>
  <si>
    <t>29516.99.72</t>
  </si>
  <si>
    <t>29516.30.1</t>
  </si>
  <si>
    <t>Лозенски път</t>
  </si>
  <si>
    <t>29516.64.9</t>
  </si>
  <si>
    <t>58801.440.79</t>
  </si>
  <si>
    <t>05520.26.27</t>
  </si>
  <si>
    <t>Рубела</t>
  </si>
  <si>
    <t>05520.34.14</t>
  </si>
  <si>
    <t>Дранголов бозалък</t>
  </si>
  <si>
    <t>46797.15.186</t>
  </si>
  <si>
    <t>Маринов дол</t>
  </si>
  <si>
    <t>46797.43.42</t>
  </si>
  <si>
    <t>46797.18.73</t>
  </si>
  <si>
    <t>46797.22.135</t>
  </si>
  <si>
    <t>Старната</t>
  </si>
  <si>
    <t>с.Кирилово</t>
  </si>
  <si>
    <t>36909.43.340</t>
  </si>
  <si>
    <t>Кузулука</t>
  </si>
  <si>
    <t>36909.45.8</t>
  </si>
  <si>
    <t>Ареач баира</t>
  </si>
  <si>
    <t>36909.59.182</t>
  </si>
  <si>
    <t>Анджолов кладенец</t>
  </si>
  <si>
    <t>36909.13.5</t>
  </si>
  <si>
    <t>Карайол</t>
  </si>
  <si>
    <t>36909.46.10</t>
  </si>
  <si>
    <t>Ветите лозя</t>
  </si>
  <si>
    <t>36909.34.160</t>
  </si>
  <si>
    <t>Кара билюк</t>
  </si>
  <si>
    <t>06001.3.999</t>
  </si>
  <si>
    <t>47768.27.64</t>
  </si>
  <si>
    <t>27382.48.22</t>
  </si>
  <si>
    <t>Долен герен</t>
  </si>
  <si>
    <t>к-я</t>
  </si>
  <si>
    <t>81121.280.50</t>
  </si>
  <si>
    <t>17748.29.3</t>
  </si>
  <si>
    <t>17748.31.34</t>
  </si>
  <si>
    <t>17748.34.19</t>
  </si>
  <si>
    <t>17748.49.21</t>
  </si>
  <si>
    <t>Кукорево</t>
  </si>
  <si>
    <t>17748.59.1</t>
  </si>
  <si>
    <t>69883.28.30</t>
  </si>
  <si>
    <t>69883.38.60</t>
  </si>
  <si>
    <t>Св.Илия</t>
  </si>
  <si>
    <t>69883.21.31</t>
  </si>
  <si>
    <t>Гюлджа</t>
  </si>
  <si>
    <t>69883.35.5</t>
  </si>
  <si>
    <t>Циганска могила</t>
  </si>
  <si>
    <t>12530.24.139</t>
  </si>
  <si>
    <t>…………..</t>
  </si>
  <si>
    <t>12530.24.145</t>
  </si>
  <si>
    <t>12530.21.12</t>
  </si>
  <si>
    <t>61738.22.2</t>
  </si>
  <si>
    <t xml:space="preserve">нива </t>
  </si>
  <si>
    <t>46797.33.14</t>
  </si>
  <si>
    <t>Тузлите</t>
  </si>
  <si>
    <t>46797.15.74</t>
  </si>
  <si>
    <t>66980.12.53</t>
  </si>
  <si>
    <t>Келемите</t>
  </si>
  <si>
    <t>66980.22.1</t>
  </si>
  <si>
    <t>Куртев Баир</t>
  </si>
  <si>
    <t>27382.75.360</t>
  </si>
  <si>
    <t>27382.75.370</t>
  </si>
  <si>
    <t>27382.75.380</t>
  </si>
  <si>
    <t>27382.75.660</t>
  </si>
  <si>
    <t>27382.75.661</t>
  </si>
  <si>
    <t>27382.75.720</t>
  </si>
  <si>
    <t>27382.75.721</t>
  </si>
  <si>
    <t>27382.75.740</t>
  </si>
  <si>
    <t>61738.22.22</t>
  </si>
  <si>
    <t>61738.22.24</t>
  </si>
  <si>
    <t>61738.47.55</t>
  </si>
  <si>
    <t>61738.39.23</t>
  </si>
  <si>
    <t>Бончев ямач</t>
  </si>
  <si>
    <t>46904.50.30</t>
  </si>
  <si>
    <t>46904.25.16</t>
  </si>
  <si>
    <t>Джебил герен</t>
  </si>
  <si>
    <t>старите лозя</t>
  </si>
  <si>
    <t>Пикнади-Семизова</t>
  </si>
  <si>
    <t>46904.26.19</t>
  </si>
  <si>
    <t>46904.26.29</t>
  </si>
  <si>
    <t>46904.26.32</t>
  </si>
  <si>
    <t>46904.27.26</t>
  </si>
  <si>
    <t>46904.29.34</t>
  </si>
  <si>
    <t>46904.29.45</t>
  </si>
  <si>
    <t>46904.26.22</t>
  </si>
  <si>
    <t>Бабина събина поляна</t>
  </si>
  <si>
    <t>27382.14.662</t>
  </si>
  <si>
    <t>27382.72.930</t>
  </si>
  <si>
    <t>15730.49.1</t>
  </si>
  <si>
    <t>15730.54.8</t>
  </si>
  <si>
    <t>15730.14.80</t>
  </si>
  <si>
    <t>15730.17.15</t>
  </si>
  <si>
    <t>15730.17.20</t>
  </si>
  <si>
    <t>Мъртвилото</t>
  </si>
  <si>
    <t>Петър стоянов кладенец</t>
  </si>
  <si>
    <t>46797.33.114</t>
  </si>
  <si>
    <t>43459.67.380</t>
  </si>
  <si>
    <t>43459.67.724</t>
  </si>
  <si>
    <t>43459.40.60</t>
  </si>
  <si>
    <t>43459.51.159</t>
  </si>
  <si>
    <t>Шили егрек</t>
  </si>
  <si>
    <t>43459.55.67</t>
  </si>
  <si>
    <t>Дебелия рът</t>
  </si>
  <si>
    <t>47768.13.61</t>
  </si>
  <si>
    <t>Чакъров кладенец</t>
  </si>
  <si>
    <t>47768.23.33</t>
  </si>
  <si>
    <t>47768.33.22</t>
  </si>
  <si>
    <t>47768.23.92</t>
  </si>
  <si>
    <t>47768.33.7</t>
  </si>
  <si>
    <t>47768.33.48</t>
  </si>
  <si>
    <t>47768.33.77</t>
  </si>
  <si>
    <t>43459.48.240</t>
  </si>
  <si>
    <t>69883.17.70</t>
  </si>
  <si>
    <t>рента/дка</t>
  </si>
  <si>
    <t>наемна цена</t>
  </si>
  <si>
    <t xml:space="preserve"> Общо</t>
  </si>
  <si>
    <t> VI</t>
  </si>
  <si>
    <t>ЗА ПРЕДОСТАВЯНЕ ПОД НАЕМ  2024г. НА ВТОРИ ТЪРГ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</si>
</sst>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  <numFmt numFmtId="170" formatCode="hh:mm:ss\ &quot;ч.&quot;"/>
    <numFmt numFmtId="171" formatCode="0.0"/>
    <numFmt numFmtId="172" formatCode="_-* #,##0.00\ _л_в_-;\-* #,##0.00\ _л_в_-;_-* &quot;-&quot;??\ _л_в_-;_-@_-"/>
    <numFmt numFmtId="173" formatCode="_-* #,##0.000\ _л_в_-;\-* #,##0.000\ _л_в_-;_-* &quot;-&quot;??\ _л_в_-;_-@_-"/>
    <numFmt numFmtId="174" formatCode="_-* #,##0.0\ _л_в_-;\-* #,##0.0\ _л_в_-;_-* &quot;-&quot;??\ _л_в_-;_-@_-"/>
    <numFmt numFmtId="175" formatCode="0.0000"/>
    <numFmt numFmtId="176" formatCode="0.00000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51" fillId="0" borderId="0" xfId="0" applyFont="1" applyAlignment="1">
      <alignment/>
    </xf>
    <xf numFmtId="0" fontId="24" fillId="34" borderId="0" xfId="0" applyFont="1" applyFill="1" applyAlignment="1">
      <alignment/>
    </xf>
    <xf numFmtId="0" fontId="0" fillId="25" borderId="0" xfId="0" applyFill="1" applyAlignment="1">
      <alignment/>
    </xf>
    <xf numFmtId="0" fontId="52" fillId="34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24" fillId="35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10" xfId="0" applyNumberFormat="1" applyFont="1" applyFill="1" applyBorder="1" applyAlignment="1">
      <alignment horizontal="left"/>
    </xf>
    <xf numFmtId="0" fontId="53" fillId="0" borderId="10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53" fillId="0" borderId="10" xfId="0" applyNumberFormat="1" applyFont="1" applyFill="1" applyBorder="1" applyAlignment="1" applyProtection="1">
      <alignment horizontal="left" readingOrder="1"/>
      <protection locked="0"/>
    </xf>
    <xf numFmtId="0" fontId="54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5" fillId="0" borderId="10" xfId="0" applyFont="1" applyFill="1" applyBorder="1" applyAlignment="1">
      <alignment horizontal="left"/>
    </xf>
    <xf numFmtId="2" fontId="55" fillId="0" borderId="10" xfId="0" applyNumberFormat="1" applyFont="1" applyFill="1" applyBorder="1" applyAlignment="1">
      <alignment horizontal="left"/>
    </xf>
    <xf numFmtId="2" fontId="30" fillId="0" borderId="10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24" fillId="22" borderId="0" xfId="0" applyFont="1" applyFill="1" applyAlignment="1">
      <alignment/>
    </xf>
    <xf numFmtId="0" fontId="53" fillId="0" borderId="12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53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NumberFormat="1" applyFont="1" applyFill="1" applyBorder="1" applyAlignment="1" applyProtection="1">
      <alignment horizontal="center"/>
      <protection locked="0"/>
    </xf>
    <xf numFmtId="49" fontId="53" fillId="0" borderId="10" xfId="0" applyNumberFormat="1" applyFont="1" applyFill="1" applyBorder="1" applyAlignment="1" applyProtection="1">
      <alignment horizontal="center"/>
      <protection locked="0"/>
    </xf>
    <xf numFmtId="49" fontId="53" fillId="0" borderId="10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top" wrapText="1"/>
    </xf>
    <xf numFmtId="0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73" fontId="53" fillId="0" borderId="10" xfId="49" applyNumberFormat="1" applyFont="1" applyFill="1" applyBorder="1" applyAlignment="1">
      <alignment horizontal="center"/>
    </xf>
    <xf numFmtId="173" fontId="53" fillId="0" borderId="10" xfId="49" applyNumberFormat="1" applyFont="1" applyFill="1" applyBorder="1" applyAlignment="1">
      <alignment horizontal="center" wrapText="1"/>
    </xf>
    <xf numFmtId="164" fontId="53" fillId="0" borderId="10" xfId="0" applyNumberFormat="1" applyFont="1" applyFill="1" applyBorder="1" applyAlignment="1">
      <alignment horizontal="center"/>
    </xf>
    <xf numFmtId="164" fontId="5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 applyProtection="1">
      <alignment horizontal="center"/>
      <protection locked="0"/>
    </xf>
    <xf numFmtId="164" fontId="53" fillId="0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3" fontId="53" fillId="0" borderId="0" xfId="49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55" fillId="0" borderId="0" xfId="0" applyNumberFormat="1" applyFont="1" applyFill="1" applyBorder="1" applyAlignment="1">
      <alignment horizontal="left"/>
    </xf>
    <xf numFmtId="0" fontId="53" fillId="0" borderId="15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5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9" xfId="0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center" vertical="center" wrapText="1"/>
    </xf>
    <xf numFmtId="0" fontId="53" fillId="0" borderId="16" xfId="0" applyNumberFormat="1" applyFont="1" applyFill="1" applyBorder="1" applyAlignment="1">
      <alignment horizontal="left" vertical="top" wrapText="1"/>
    </xf>
    <xf numFmtId="0" fontId="55" fillId="0" borderId="11" xfId="0" applyNumberFormat="1" applyFont="1" applyFill="1" applyBorder="1" applyAlignment="1">
      <alignment horizontal="center"/>
    </xf>
    <xf numFmtId="0" fontId="53" fillId="0" borderId="11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53" fillId="0" borderId="11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  <xf numFmtId="0" fontId="52" fillId="22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center"/>
    </xf>
    <xf numFmtId="0" fontId="53" fillId="0" borderId="11" xfId="0" applyNumberFormat="1" applyFont="1" applyFill="1" applyBorder="1" applyAlignment="1">
      <alignment horizontal="left"/>
    </xf>
    <xf numFmtId="0" fontId="53" fillId="0" borderId="1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2" fontId="51" fillId="0" borderId="10" xfId="0" applyNumberFormat="1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NumberFormat="1" applyFont="1" applyFill="1" applyBorder="1" applyAlignment="1">
      <alignment vertical="top" wrapText="1"/>
    </xf>
    <xf numFmtId="2" fontId="55" fillId="35" borderId="10" xfId="0" applyNumberFormat="1" applyFont="1" applyFill="1" applyBorder="1" applyAlignment="1">
      <alignment horizontal="left"/>
    </xf>
    <xf numFmtId="2" fontId="55" fillId="35" borderId="0" xfId="0" applyNumberFormat="1" applyFont="1" applyFill="1" applyBorder="1" applyAlignment="1">
      <alignment horizontal="left"/>
    </xf>
    <xf numFmtId="164" fontId="54" fillId="0" borderId="12" xfId="0" applyNumberFormat="1" applyFont="1" applyFill="1" applyBorder="1" applyAlignment="1">
      <alignment horizontal="center"/>
    </xf>
    <xf numFmtId="0" fontId="53" fillId="0" borderId="19" xfId="0" applyFont="1" applyFill="1" applyBorder="1" applyAlignment="1">
      <alignment/>
    </xf>
    <xf numFmtId="0" fontId="5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164" fontId="53" fillId="0" borderId="19" xfId="0" applyNumberFormat="1" applyFont="1" applyFill="1" applyBorder="1" applyAlignment="1">
      <alignment horizontal="center"/>
    </xf>
    <xf numFmtId="2" fontId="55" fillId="0" borderId="19" xfId="0" applyNumberFormat="1" applyFont="1" applyFill="1" applyBorder="1" applyAlignment="1">
      <alignment horizontal="left"/>
    </xf>
    <xf numFmtId="0" fontId="53" fillId="0" borderId="12" xfId="0" applyFont="1" applyFill="1" applyBorder="1" applyAlignment="1">
      <alignment horizontal="center"/>
    </xf>
    <xf numFmtId="0" fontId="54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5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49" fontId="5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3" fillId="0" borderId="19" xfId="0" applyFont="1" applyFill="1" applyBorder="1" applyAlignment="1">
      <alignment horizontal="center" vertical="top" wrapText="1"/>
    </xf>
    <xf numFmtId="2" fontId="55" fillId="0" borderId="16" xfId="0" applyNumberFormat="1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 horizontal="center"/>
    </xf>
    <xf numFmtId="0" fontId="53" fillId="0" borderId="19" xfId="0" applyNumberFormat="1" applyFont="1" applyFill="1" applyBorder="1" applyAlignment="1">
      <alignment horizontal="center"/>
    </xf>
    <xf numFmtId="0" fontId="53" fillId="0" borderId="18" xfId="0" applyNumberFormat="1" applyFont="1" applyFill="1" applyBorder="1" applyAlignment="1">
      <alignment horizontal="left" vertical="top" wrapText="1"/>
    </xf>
    <xf numFmtId="164" fontId="3" fillId="0" borderId="19" xfId="0" applyNumberFormat="1" applyFont="1" applyFill="1" applyBorder="1" applyAlignment="1">
      <alignment horizontal="center"/>
    </xf>
    <xf numFmtId="0" fontId="53" fillId="0" borderId="14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0" fontId="53" fillId="0" borderId="14" xfId="0" applyNumberFormat="1" applyFont="1" applyFill="1" applyBorder="1" applyAlignment="1">
      <alignment horizontal="left" vertical="top" wrapText="1"/>
    </xf>
    <xf numFmtId="2" fontId="51" fillId="0" borderId="19" xfId="0" applyNumberFormat="1" applyFont="1" applyFill="1" applyBorder="1" applyAlignment="1">
      <alignment horizontal="left"/>
    </xf>
    <xf numFmtId="0" fontId="53" fillId="0" borderId="12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left" vertical="top" wrapText="1"/>
    </xf>
    <xf numFmtId="175" fontId="3" fillId="0" borderId="12" xfId="0" applyNumberFormat="1" applyFont="1" applyFill="1" applyBorder="1" applyAlignment="1">
      <alignment horizontal="center"/>
    </xf>
    <xf numFmtId="0" fontId="53" fillId="0" borderId="2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53" fillId="0" borderId="19" xfId="0" applyNumberFormat="1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9" fontId="53" fillId="0" borderId="19" xfId="0" applyNumberFormat="1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vertical="top" wrapText="1"/>
    </xf>
    <xf numFmtId="164" fontId="53" fillId="0" borderId="19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164" fontId="5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3" fillId="0" borderId="2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 vertical="center" wrapText="1"/>
    </xf>
    <xf numFmtId="0" fontId="0" fillId="35" borderId="16" xfId="0" applyFill="1" applyBorder="1" applyAlignment="1">
      <alignment/>
    </xf>
    <xf numFmtId="2" fontId="55" fillId="35" borderId="16" xfId="0" applyNumberFormat="1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2" fontId="30" fillId="0" borderId="16" xfId="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55" fillId="0" borderId="15" xfId="0" applyFont="1" applyFill="1" applyBorder="1" applyAlignment="1">
      <alignment horizontal="left"/>
    </xf>
    <xf numFmtId="2" fontId="55" fillId="0" borderId="1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6" xfId="0" applyNumberFormat="1" applyFont="1" applyFill="1" applyBorder="1" applyAlignment="1">
      <alignment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0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CR558"/>
  <sheetViews>
    <sheetView tabSelected="1" zoomScale="110" zoomScaleNormal="110" zoomScaleSheetLayoutView="130" workbookViewId="0" topLeftCell="A97">
      <selection activeCell="M52" sqref="M52"/>
    </sheetView>
  </sheetViews>
  <sheetFormatPr defaultColWidth="9.140625" defaultRowHeight="15.75" customHeight="1" outlineLevelRow="2"/>
  <cols>
    <col min="1" max="1" width="5.00390625" style="20" customWidth="1"/>
    <col min="2" max="2" width="17.28125" style="19" customWidth="1"/>
    <col min="3" max="3" width="20.8515625" style="64" customWidth="1"/>
    <col min="4" max="4" width="22.7109375" style="20" customWidth="1"/>
    <col min="5" max="5" width="7.421875" style="21" hidden="1" customWidth="1"/>
    <col min="6" max="6" width="7.421875" style="19" customWidth="1"/>
    <col min="7" max="7" width="15.28125" style="19" customWidth="1"/>
    <col min="8" max="8" width="13.28125" style="99" customWidth="1"/>
    <col min="9" max="10" width="9.28125" style="62" bestFit="1" customWidth="1"/>
    <col min="11" max="11" width="11.7109375" style="226" customWidth="1"/>
    <col min="12" max="12" width="14.00390625" style="62" customWidth="1"/>
    <col min="13" max="13" width="11.7109375" style="62" customWidth="1"/>
    <col min="14" max="14" width="11.57421875" style="97" customWidth="1"/>
    <col min="15" max="16" width="12.00390625" style="18" customWidth="1"/>
    <col min="17" max="17" width="11.7109375" style="18" customWidth="1"/>
    <col min="18" max="18" width="11.57421875" style="18" customWidth="1"/>
    <col min="19" max="19" width="13.140625" style="18" customWidth="1"/>
    <col min="20" max="20" width="12.140625" style="18" customWidth="1"/>
    <col min="21" max="21" width="11.8515625" style="18" customWidth="1"/>
    <col min="22" max="22" width="12.57421875" style="18" customWidth="1"/>
    <col min="23" max="23" width="13.421875" style="18" customWidth="1"/>
    <col min="24" max="24" width="14.28125" style="18" customWidth="1"/>
    <col min="25" max="25" width="12.140625" style="18" customWidth="1"/>
    <col min="26" max="26" width="12.28125" style="18" customWidth="1"/>
    <col min="27" max="27" width="11.57421875" style="18" customWidth="1"/>
    <col min="28" max="29" width="12.140625" style="18" customWidth="1"/>
    <col min="30" max="30" width="12.421875" style="18" customWidth="1"/>
    <col min="31" max="31" width="12.7109375" style="18" customWidth="1"/>
    <col min="32" max="32" width="12.421875" style="18" customWidth="1"/>
    <col min="33" max="33" width="11.7109375" style="18" customWidth="1"/>
    <col min="34" max="34" width="12.7109375" style="18" customWidth="1"/>
    <col min="35" max="35" width="12.8515625" style="2" customWidth="1"/>
    <col min="36" max="36" width="13.57421875" style="2" customWidth="1"/>
    <col min="37" max="38" width="11.8515625" style="2" customWidth="1"/>
    <col min="39" max="40" width="12.7109375" style="2" customWidth="1"/>
    <col min="41" max="41" width="12.28125" style="2" customWidth="1"/>
    <col min="42" max="42" width="12.57421875" style="2" customWidth="1"/>
    <col min="43" max="43" width="11.8515625" style="2" customWidth="1"/>
    <col min="44" max="45" width="12.28125" style="2" customWidth="1"/>
    <col min="46" max="46" width="12.421875" style="2" customWidth="1"/>
    <col min="47" max="47" width="12.140625" style="2" customWidth="1"/>
    <col min="48" max="48" width="12.00390625" style="2" customWidth="1"/>
    <col min="49" max="49" width="13.00390625" style="2" customWidth="1"/>
    <col min="50" max="50" width="11.57421875" style="2" customWidth="1"/>
    <col min="51" max="51" width="11.8515625" style="2" customWidth="1"/>
    <col min="52" max="52" width="12.57421875" style="2" customWidth="1"/>
    <col min="53" max="53" width="11.57421875" style="2" customWidth="1"/>
    <col min="54" max="54" width="12.140625" style="2" customWidth="1"/>
    <col min="55" max="55" width="11.57421875" style="2" customWidth="1"/>
    <col min="56" max="56" width="11.28125" style="2" customWidth="1"/>
    <col min="57" max="57" width="10.8515625" style="2" customWidth="1"/>
    <col min="58" max="59" width="10.28125" style="2" customWidth="1"/>
    <col min="60" max="60" width="10.57421875" style="2" customWidth="1"/>
    <col min="61" max="61" width="11.28125" style="2" customWidth="1"/>
    <col min="62" max="62" width="10.421875" style="2" customWidth="1"/>
    <col min="63" max="63" width="10.28125" style="2" customWidth="1"/>
    <col min="64" max="70" width="9.140625" style="2" customWidth="1"/>
  </cols>
  <sheetData>
    <row r="1" spans="8:11" ht="15.75" customHeight="1">
      <c r="H1" s="138"/>
      <c r="J1" s="19" t="s">
        <v>0</v>
      </c>
      <c r="K1" s="62"/>
    </row>
    <row r="2" spans="2:11" ht="15.75" customHeight="1">
      <c r="B2" s="140"/>
      <c r="H2" s="128"/>
      <c r="K2" s="62"/>
    </row>
    <row r="3" spans="8:11" ht="15.75" customHeight="1">
      <c r="H3" s="138"/>
      <c r="K3" s="62"/>
    </row>
    <row r="4" spans="2:11" ht="15.75" customHeight="1">
      <c r="B4" s="235" t="s">
        <v>1</v>
      </c>
      <c r="C4" s="235"/>
      <c r="D4" s="235"/>
      <c r="E4" s="235"/>
      <c r="F4" s="235"/>
      <c r="G4" s="235"/>
      <c r="H4" s="235"/>
      <c r="K4" s="62"/>
    </row>
    <row r="5" spans="2:11" ht="15.75" customHeight="1">
      <c r="B5" s="235" t="s">
        <v>2</v>
      </c>
      <c r="C5" s="235"/>
      <c r="D5" s="235"/>
      <c r="E5" s="235"/>
      <c r="F5" s="235"/>
      <c r="G5" s="235"/>
      <c r="H5" s="235"/>
      <c r="K5" s="62"/>
    </row>
    <row r="6" spans="2:11" ht="15.75" customHeight="1">
      <c r="B6" s="236" t="s">
        <v>3</v>
      </c>
      <c r="C6" s="236"/>
      <c r="D6" s="236"/>
      <c r="E6" s="236"/>
      <c r="F6" s="236"/>
      <c r="G6" s="236"/>
      <c r="H6" s="236"/>
      <c r="K6" s="62"/>
    </row>
    <row r="7" spans="2:11" ht="15.75" customHeight="1">
      <c r="B7" s="235" t="s">
        <v>592</v>
      </c>
      <c r="C7" s="235"/>
      <c r="D7" s="235"/>
      <c r="E7" s="235"/>
      <c r="F7" s="235"/>
      <c r="G7" s="235"/>
      <c r="H7" s="235"/>
      <c r="K7" s="62"/>
    </row>
    <row r="8" spans="8:11" ht="15.75" customHeight="1">
      <c r="H8" s="138"/>
      <c r="K8" s="62"/>
    </row>
    <row r="9" spans="1:11" ht="15.75" customHeight="1">
      <c r="A9" s="234" t="s">
        <v>4</v>
      </c>
      <c r="B9" s="238" t="s">
        <v>5</v>
      </c>
      <c r="C9" s="239" t="s">
        <v>6</v>
      </c>
      <c r="D9" s="234" t="s">
        <v>7</v>
      </c>
      <c r="E9" s="240" t="s">
        <v>8</v>
      </c>
      <c r="F9" s="137"/>
      <c r="G9" s="233" t="s">
        <v>85</v>
      </c>
      <c r="H9" s="234" t="s">
        <v>9</v>
      </c>
      <c r="I9" s="17"/>
      <c r="J9" s="54"/>
      <c r="K9" s="54"/>
    </row>
    <row r="10" spans="1:34" s="2" customFormat="1" ht="43.5" customHeight="1" outlineLevel="1">
      <c r="A10" s="237"/>
      <c r="B10" s="238"/>
      <c r="C10" s="239"/>
      <c r="D10" s="234"/>
      <c r="E10" s="240"/>
      <c r="F10" s="137" t="s">
        <v>507</v>
      </c>
      <c r="G10" s="233"/>
      <c r="H10" s="234"/>
      <c r="I10" s="17" t="s">
        <v>507</v>
      </c>
      <c r="J10" s="133" t="s">
        <v>588</v>
      </c>
      <c r="K10" s="135" t="s">
        <v>589</v>
      </c>
      <c r="L10" s="62"/>
      <c r="M10" s="62"/>
      <c r="N10" s="9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2" customFormat="1" ht="15.75" customHeight="1" outlineLevel="2">
      <c r="A11" s="24">
        <v>1</v>
      </c>
      <c r="B11" s="23" t="s">
        <v>382</v>
      </c>
      <c r="C11" s="24" t="s">
        <v>113</v>
      </c>
      <c r="D11" s="24" t="s">
        <v>10</v>
      </c>
      <c r="E11" s="25" t="s">
        <v>11</v>
      </c>
      <c r="F11" s="22" t="s">
        <v>11</v>
      </c>
      <c r="G11" s="22" t="s">
        <v>12</v>
      </c>
      <c r="H11" s="24">
        <v>7.793</v>
      </c>
      <c r="I11" s="131">
        <v>1.2</v>
      </c>
      <c r="J11" s="134">
        <v>24</v>
      </c>
      <c r="K11" s="55">
        <f>(H11*I11*J11)</f>
        <v>224.4384</v>
      </c>
      <c r="L11" s="62"/>
      <c r="M11" s="62"/>
      <c r="N11" s="9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s="2" customFormat="1" ht="15.75" customHeight="1" outlineLevel="2">
      <c r="A12" s="24">
        <v>2</v>
      </c>
      <c r="B12" s="23" t="s">
        <v>382</v>
      </c>
      <c r="C12" s="24" t="s">
        <v>112</v>
      </c>
      <c r="D12" s="24" t="s">
        <v>10</v>
      </c>
      <c r="E12" s="25" t="s">
        <v>11</v>
      </c>
      <c r="F12" s="22" t="s">
        <v>11</v>
      </c>
      <c r="G12" s="22" t="s">
        <v>12</v>
      </c>
      <c r="H12" s="24">
        <v>4.619</v>
      </c>
      <c r="I12" s="131">
        <v>1.2</v>
      </c>
      <c r="J12" s="134">
        <v>24</v>
      </c>
      <c r="K12" s="55">
        <f aca="true" t="shared" si="0" ref="K12:K55">(H12*I12*J12)</f>
        <v>133.0272</v>
      </c>
      <c r="L12" s="62"/>
      <c r="M12" s="62"/>
      <c r="N12" s="9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s="2" customFormat="1" ht="15.75" customHeight="1" outlineLevel="2">
      <c r="A13" s="24">
        <v>3</v>
      </c>
      <c r="B13" s="23" t="s">
        <v>382</v>
      </c>
      <c r="C13" s="143" t="s">
        <v>114</v>
      </c>
      <c r="D13" s="143" t="s">
        <v>13</v>
      </c>
      <c r="E13" s="145" t="s">
        <v>11</v>
      </c>
      <c r="F13" s="22" t="s">
        <v>11</v>
      </c>
      <c r="G13" s="26" t="s">
        <v>28</v>
      </c>
      <c r="H13" s="143">
        <v>2.815</v>
      </c>
      <c r="I13" s="131">
        <v>1.2</v>
      </c>
      <c r="J13" s="134">
        <v>34</v>
      </c>
      <c r="K13" s="55">
        <f t="shared" si="0"/>
        <v>114.85199999999999</v>
      </c>
      <c r="L13" s="62"/>
      <c r="M13" s="62"/>
      <c r="N13" s="9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2" customFormat="1" ht="15.75" customHeight="1" outlineLevel="2">
      <c r="A14" s="24">
        <v>4</v>
      </c>
      <c r="B14" s="23" t="s">
        <v>382</v>
      </c>
      <c r="C14" s="143" t="s">
        <v>172</v>
      </c>
      <c r="D14" s="143" t="s">
        <v>15</v>
      </c>
      <c r="E14" s="145" t="s">
        <v>11</v>
      </c>
      <c r="F14" s="22" t="s">
        <v>11</v>
      </c>
      <c r="G14" s="26" t="s">
        <v>28</v>
      </c>
      <c r="H14" s="143">
        <v>2.139</v>
      </c>
      <c r="I14" s="131">
        <v>1.2</v>
      </c>
      <c r="J14" s="134">
        <v>34</v>
      </c>
      <c r="K14" s="55">
        <f t="shared" si="0"/>
        <v>87.2712</v>
      </c>
      <c r="L14" s="62"/>
      <c r="M14" s="62"/>
      <c r="N14" s="9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70" s="1" customFormat="1" ht="15.75" customHeight="1" outlineLevel="2">
      <c r="A15" s="24">
        <v>5</v>
      </c>
      <c r="B15" s="41" t="s">
        <v>382</v>
      </c>
      <c r="C15" s="27" t="s">
        <v>505</v>
      </c>
      <c r="D15" s="27" t="s">
        <v>506</v>
      </c>
      <c r="E15" s="41" t="s">
        <v>18</v>
      </c>
      <c r="F15" s="23" t="s">
        <v>18</v>
      </c>
      <c r="G15" s="36" t="s">
        <v>28</v>
      </c>
      <c r="H15" s="27">
        <v>5.429</v>
      </c>
      <c r="I15" s="132">
        <v>0.7</v>
      </c>
      <c r="J15" s="134">
        <v>34</v>
      </c>
      <c r="K15" s="55">
        <f t="shared" si="0"/>
        <v>129.2102</v>
      </c>
      <c r="L15" s="62"/>
      <c r="M15" s="62"/>
      <c r="N15" s="9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1" customFormat="1" ht="15.75" customHeight="1" outlineLevel="2">
      <c r="A16" s="24">
        <v>6</v>
      </c>
      <c r="B16" s="111" t="s">
        <v>382</v>
      </c>
      <c r="C16" s="65" t="s">
        <v>263</v>
      </c>
      <c r="D16" s="112" t="s">
        <v>339</v>
      </c>
      <c r="E16" s="30" t="s">
        <v>11</v>
      </c>
      <c r="F16" s="22" t="s">
        <v>11</v>
      </c>
      <c r="G16" s="114" t="s">
        <v>28</v>
      </c>
      <c r="H16" s="65">
        <v>2.788</v>
      </c>
      <c r="I16" s="131">
        <v>1.2</v>
      </c>
      <c r="J16" s="134">
        <v>34</v>
      </c>
      <c r="K16" s="55">
        <f t="shared" si="0"/>
        <v>113.75039999999998</v>
      </c>
      <c r="L16" s="62"/>
      <c r="M16" s="62"/>
      <c r="N16" s="9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1" customFormat="1" ht="15.75" customHeight="1" outlineLevel="2">
      <c r="A17" s="24">
        <v>7</v>
      </c>
      <c r="B17" s="111" t="s">
        <v>382</v>
      </c>
      <c r="C17" s="143" t="s">
        <v>115</v>
      </c>
      <c r="D17" s="113" t="s">
        <v>17</v>
      </c>
      <c r="E17" s="145" t="s">
        <v>18</v>
      </c>
      <c r="F17" s="23" t="s">
        <v>18</v>
      </c>
      <c r="G17" s="114" t="s">
        <v>28</v>
      </c>
      <c r="H17" s="143">
        <v>3.172</v>
      </c>
      <c r="I17" s="132">
        <v>0.7</v>
      </c>
      <c r="J17" s="134">
        <v>34</v>
      </c>
      <c r="K17" s="55">
        <f t="shared" si="0"/>
        <v>75.4936</v>
      </c>
      <c r="L17" s="62"/>
      <c r="M17" s="62"/>
      <c r="N17" s="9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1" customFormat="1" ht="15.75" customHeight="1" outlineLevel="2">
      <c r="A18" s="24">
        <v>8</v>
      </c>
      <c r="B18" s="108" t="s">
        <v>382</v>
      </c>
      <c r="C18" s="27" t="s">
        <v>535</v>
      </c>
      <c r="D18" s="104" t="s">
        <v>534</v>
      </c>
      <c r="E18" s="30"/>
      <c r="F18" s="142" t="s">
        <v>11</v>
      </c>
      <c r="G18" s="103" t="s">
        <v>28</v>
      </c>
      <c r="H18" s="27">
        <v>13.598</v>
      </c>
      <c r="I18" s="45">
        <v>1.2</v>
      </c>
      <c r="J18" s="134">
        <v>34</v>
      </c>
      <c r="K18" s="55">
        <f t="shared" si="0"/>
        <v>554.7983999999999</v>
      </c>
      <c r="L18" s="62"/>
      <c r="M18" s="62"/>
      <c r="N18" s="9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1" customFormat="1" ht="15.75" customHeight="1" outlineLevel="2">
      <c r="A19" s="24">
        <v>9</v>
      </c>
      <c r="B19" s="108" t="s">
        <v>382</v>
      </c>
      <c r="C19" s="27" t="s">
        <v>536</v>
      </c>
      <c r="D19" s="104" t="s">
        <v>534</v>
      </c>
      <c r="E19" s="30"/>
      <c r="F19" s="142" t="s">
        <v>11</v>
      </c>
      <c r="G19" s="103" t="s">
        <v>28</v>
      </c>
      <c r="H19" s="27">
        <v>13.298</v>
      </c>
      <c r="I19" s="45">
        <v>1.2</v>
      </c>
      <c r="J19" s="134">
        <v>34</v>
      </c>
      <c r="K19" s="55">
        <f t="shared" si="0"/>
        <v>542.5584</v>
      </c>
      <c r="L19" s="62"/>
      <c r="M19" s="62"/>
      <c r="N19" s="9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1" customFormat="1" ht="15.75" customHeight="1" outlineLevel="2">
      <c r="A20" s="24">
        <v>10</v>
      </c>
      <c r="B20" s="108" t="s">
        <v>382</v>
      </c>
      <c r="C20" s="27" t="s">
        <v>537</v>
      </c>
      <c r="D20" s="104" t="s">
        <v>534</v>
      </c>
      <c r="E20" s="30"/>
      <c r="F20" s="142" t="s">
        <v>11</v>
      </c>
      <c r="G20" s="103" t="s">
        <v>28</v>
      </c>
      <c r="H20" s="27">
        <v>9.199</v>
      </c>
      <c r="I20" s="45">
        <v>1.2</v>
      </c>
      <c r="J20" s="134">
        <v>34</v>
      </c>
      <c r="K20" s="55">
        <f t="shared" si="0"/>
        <v>375.3192</v>
      </c>
      <c r="L20" s="62"/>
      <c r="M20" s="62"/>
      <c r="N20" s="97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1" customFormat="1" ht="15.75" customHeight="1" outlineLevel="2">
      <c r="A21" s="24">
        <v>11</v>
      </c>
      <c r="B21" s="108" t="s">
        <v>382</v>
      </c>
      <c r="C21" s="27" t="s">
        <v>538</v>
      </c>
      <c r="D21" s="104" t="s">
        <v>534</v>
      </c>
      <c r="E21" s="30"/>
      <c r="F21" s="142" t="s">
        <v>40</v>
      </c>
      <c r="G21" s="103" t="s">
        <v>28</v>
      </c>
      <c r="H21" s="27">
        <v>9.05</v>
      </c>
      <c r="I21" s="132">
        <v>0.7</v>
      </c>
      <c r="J21" s="134">
        <v>34</v>
      </c>
      <c r="K21" s="55">
        <f t="shared" si="0"/>
        <v>215.39</v>
      </c>
      <c r="L21" s="62"/>
      <c r="M21" s="62"/>
      <c r="N21" s="9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1" customFormat="1" ht="15.75" customHeight="1" outlineLevel="2">
      <c r="A22" s="24">
        <v>12</v>
      </c>
      <c r="B22" s="108" t="s">
        <v>382</v>
      </c>
      <c r="C22" s="27" t="s">
        <v>539</v>
      </c>
      <c r="D22" s="104" t="s">
        <v>534</v>
      </c>
      <c r="E22" s="30"/>
      <c r="F22" s="142" t="s">
        <v>40</v>
      </c>
      <c r="G22" s="103" t="s">
        <v>28</v>
      </c>
      <c r="H22" s="27">
        <v>5.825</v>
      </c>
      <c r="I22" s="132">
        <v>0.7</v>
      </c>
      <c r="J22" s="134">
        <v>34</v>
      </c>
      <c r="K22" s="55">
        <f t="shared" si="0"/>
        <v>138.635</v>
      </c>
      <c r="L22" s="62"/>
      <c r="M22" s="62"/>
      <c r="N22" s="9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1" customFormat="1" ht="15.75" customHeight="1" outlineLevel="2">
      <c r="A23" s="24">
        <v>13</v>
      </c>
      <c r="B23" s="108" t="s">
        <v>382</v>
      </c>
      <c r="C23" s="27" t="s">
        <v>540</v>
      </c>
      <c r="D23" s="104" t="s">
        <v>534</v>
      </c>
      <c r="E23" s="30"/>
      <c r="F23" s="142" t="s">
        <v>40</v>
      </c>
      <c r="G23" s="103" t="s">
        <v>28</v>
      </c>
      <c r="H23" s="27">
        <v>6.001</v>
      </c>
      <c r="I23" s="132">
        <v>0.7</v>
      </c>
      <c r="J23" s="134">
        <v>34</v>
      </c>
      <c r="K23" s="55">
        <f t="shared" si="0"/>
        <v>142.8238</v>
      </c>
      <c r="L23" s="62"/>
      <c r="M23" s="62"/>
      <c r="N23" s="9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" customFormat="1" ht="15.75" customHeight="1" outlineLevel="2">
      <c r="A24" s="24">
        <v>14</v>
      </c>
      <c r="B24" s="108" t="s">
        <v>382</v>
      </c>
      <c r="C24" s="27" t="s">
        <v>541</v>
      </c>
      <c r="D24" s="104" t="s">
        <v>534</v>
      </c>
      <c r="E24" s="30"/>
      <c r="F24" s="142" t="s">
        <v>40</v>
      </c>
      <c r="G24" s="103" t="s">
        <v>28</v>
      </c>
      <c r="H24" s="27">
        <v>42.56</v>
      </c>
      <c r="I24" s="45">
        <v>1.2</v>
      </c>
      <c r="J24" s="134">
        <v>34</v>
      </c>
      <c r="K24" s="55">
        <f t="shared" si="0"/>
        <v>1736.448</v>
      </c>
      <c r="L24" s="62"/>
      <c r="M24" s="62"/>
      <c r="N24" s="9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1" customFormat="1" ht="15.75" customHeight="1" outlineLevel="2">
      <c r="A25" s="24">
        <v>15</v>
      </c>
      <c r="B25" s="108" t="s">
        <v>382</v>
      </c>
      <c r="C25" s="27" t="s">
        <v>542</v>
      </c>
      <c r="D25" s="104" t="s">
        <v>534</v>
      </c>
      <c r="E25" s="30"/>
      <c r="F25" s="142" t="s">
        <v>40</v>
      </c>
      <c r="G25" s="103" t="s">
        <v>28</v>
      </c>
      <c r="H25" s="27">
        <v>46.02</v>
      </c>
      <c r="I25" s="45">
        <v>1.2</v>
      </c>
      <c r="J25" s="134">
        <v>34</v>
      </c>
      <c r="K25" s="55">
        <f t="shared" si="0"/>
        <v>1877.6160000000002</v>
      </c>
      <c r="L25" s="62"/>
      <c r="M25" s="62"/>
      <c r="N25" s="9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1" customFormat="1" ht="15.75" customHeight="1" outlineLevel="2">
      <c r="A26" s="24">
        <v>16</v>
      </c>
      <c r="B26" s="111" t="s">
        <v>382</v>
      </c>
      <c r="C26" s="65" t="s">
        <v>264</v>
      </c>
      <c r="D26" s="113" t="s">
        <v>340</v>
      </c>
      <c r="E26" s="30" t="s">
        <v>20</v>
      </c>
      <c r="F26" s="29" t="s">
        <v>20</v>
      </c>
      <c r="G26" s="229" t="s">
        <v>265</v>
      </c>
      <c r="H26" s="78">
        <v>2.8</v>
      </c>
      <c r="I26" s="121">
        <v>1.2</v>
      </c>
      <c r="J26" s="134">
        <v>34</v>
      </c>
      <c r="K26" s="55">
        <f t="shared" si="0"/>
        <v>114.24</v>
      </c>
      <c r="L26" s="62"/>
      <c r="M26" s="62"/>
      <c r="N26" s="9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34" s="12" customFormat="1" ht="15.75" customHeight="1" outlineLevel="2">
      <c r="A27" s="24">
        <v>17</v>
      </c>
      <c r="B27" s="111" t="s">
        <v>382</v>
      </c>
      <c r="C27" s="65" t="s">
        <v>561</v>
      </c>
      <c r="D27" s="113" t="s">
        <v>13</v>
      </c>
      <c r="E27" s="30"/>
      <c r="F27" s="142" t="s">
        <v>16</v>
      </c>
      <c r="G27" s="103" t="s">
        <v>28</v>
      </c>
      <c r="H27" s="65">
        <v>5.304</v>
      </c>
      <c r="I27" s="45">
        <v>1.2</v>
      </c>
      <c r="J27" s="134">
        <v>34</v>
      </c>
      <c r="K27" s="55">
        <f t="shared" si="0"/>
        <v>216.4032</v>
      </c>
      <c r="L27" s="62"/>
      <c r="M27" s="62"/>
      <c r="N27" s="9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12" customFormat="1" ht="15.75" customHeight="1" outlineLevel="2">
      <c r="A28" s="176">
        <v>18</v>
      </c>
      <c r="B28" s="177" t="s">
        <v>382</v>
      </c>
      <c r="C28" s="178" t="s">
        <v>562</v>
      </c>
      <c r="D28" s="179" t="s">
        <v>560</v>
      </c>
      <c r="E28" s="180"/>
      <c r="F28" s="150" t="s">
        <v>40</v>
      </c>
      <c r="G28" s="107" t="s">
        <v>28</v>
      </c>
      <c r="H28" s="181">
        <v>4.604</v>
      </c>
      <c r="I28" s="182">
        <v>0.7</v>
      </c>
      <c r="J28" s="183">
        <v>34</v>
      </c>
      <c r="K28" s="153">
        <f t="shared" si="0"/>
        <v>109.5752</v>
      </c>
      <c r="L28" s="62"/>
      <c r="M28" s="62"/>
      <c r="N28" s="9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5" s="63" customFormat="1" ht="15.75" customHeight="1" outlineLevel="2">
      <c r="A29" s="24">
        <v>19</v>
      </c>
      <c r="B29" s="23" t="s">
        <v>382</v>
      </c>
      <c r="C29" s="210" t="s">
        <v>422</v>
      </c>
      <c r="D29" s="210" t="s">
        <v>424</v>
      </c>
      <c r="E29" s="211" t="s">
        <v>40</v>
      </c>
      <c r="F29" s="211" t="s">
        <v>40</v>
      </c>
      <c r="G29" s="36" t="s">
        <v>28</v>
      </c>
      <c r="H29" s="212">
        <v>6</v>
      </c>
      <c r="I29" s="142">
        <v>0.7</v>
      </c>
      <c r="J29" s="134">
        <v>34</v>
      </c>
      <c r="K29" s="55">
        <f t="shared" si="0"/>
        <v>142.79999999999998</v>
      </c>
      <c r="L29" s="62"/>
      <c r="M29" s="62"/>
      <c r="N29" s="97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221"/>
      <c r="AC29" s="221"/>
      <c r="AD29" s="221"/>
      <c r="AE29" s="221"/>
      <c r="AF29" s="221"/>
      <c r="AG29" s="221"/>
      <c r="AH29" s="221"/>
      <c r="AI29" s="217"/>
    </row>
    <row r="30" spans="1:35" s="63" customFormat="1" ht="15.75" customHeight="1" outlineLevel="2">
      <c r="A30" s="24">
        <v>20</v>
      </c>
      <c r="B30" s="23" t="s">
        <v>382</v>
      </c>
      <c r="C30" s="210" t="s">
        <v>423</v>
      </c>
      <c r="D30" s="210" t="s">
        <v>424</v>
      </c>
      <c r="E30" s="211" t="s">
        <v>40</v>
      </c>
      <c r="F30" s="211" t="s">
        <v>40</v>
      </c>
      <c r="G30" s="36" t="s">
        <v>28</v>
      </c>
      <c r="H30" s="210">
        <v>13.668</v>
      </c>
      <c r="I30" s="142">
        <v>1.2</v>
      </c>
      <c r="J30" s="134">
        <v>34</v>
      </c>
      <c r="K30" s="55">
        <f t="shared" si="0"/>
        <v>557.6543999999999</v>
      </c>
      <c r="L30" s="62"/>
      <c r="M30" s="62"/>
      <c r="N30" s="9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21"/>
      <c r="AC30" s="221"/>
      <c r="AD30" s="221"/>
      <c r="AE30" s="221"/>
      <c r="AF30" s="221"/>
      <c r="AG30" s="221"/>
      <c r="AH30" s="221"/>
      <c r="AI30" s="217"/>
    </row>
    <row r="31" spans="1:34" s="12" customFormat="1" ht="15.75" customHeight="1" outlineLevel="1">
      <c r="A31" s="184"/>
      <c r="B31" s="185" t="s">
        <v>590</v>
      </c>
      <c r="C31" s="186"/>
      <c r="D31" s="187"/>
      <c r="E31" s="188"/>
      <c r="F31" s="189"/>
      <c r="G31" s="190"/>
      <c r="H31" s="191">
        <f>SUM(H11:H30)</f>
        <v>206.68200000000004</v>
      </c>
      <c r="I31" s="192"/>
      <c r="J31" s="159"/>
      <c r="K31" s="227"/>
      <c r="L31" s="62"/>
      <c r="M31" s="62"/>
      <c r="N31" s="9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70" s="1" customFormat="1" ht="15.75" customHeight="1" outlineLevel="1">
      <c r="A32" s="58"/>
      <c r="B32" s="32"/>
      <c r="C32" s="58"/>
      <c r="D32" s="27"/>
      <c r="E32" s="28"/>
      <c r="F32" s="45"/>
      <c r="G32" s="33"/>
      <c r="H32" s="58"/>
      <c r="I32" s="45"/>
      <c r="J32" s="54"/>
      <c r="K32" s="55"/>
      <c r="L32" s="62"/>
      <c r="M32" s="62"/>
      <c r="N32" s="9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s="12" customFormat="1" ht="15.75" customHeight="1" outlineLevel="1">
      <c r="A33" s="24"/>
      <c r="B33" s="32"/>
      <c r="C33" s="65"/>
      <c r="D33" s="143"/>
      <c r="E33" s="30"/>
      <c r="F33" s="121"/>
      <c r="G33" s="34"/>
      <c r="H33" s="65"/>
      <c r="I33" s="121"/>
      <c r="J33" s="54"/>
      <c r="K33" s="55"/>
      <c r="L33" s="62"/>
      <c r="M33" s="62"/>
      <c r="N33" s="9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34" s="2" customFormat="1" ht="15.75" customHeight="1" outlineLevel="1">
      <c r="A34" s="24"/>
      <c r="B34" s="26"/>
      <c r="C34" s="65"/>
      <c r="D34" s="143"/>
      <c r="E34" s="30"/>
      <c r="F34" s="121"/>
      <c r="G34" s="34"/>
      <c r="H34" s="65"/>
      <c r="I34" s="121"/>
      <c r="J34" s="54"/>
      <c r="K34" s="55"/>
      <c r="L34" s="62"/>
      <c r="M34" s="62"/>
      <c r="N34" s="9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70" s="12" customFormat="1" ht="15.75" customHeight="1" outlineLevel="2">
      <c r="A35" s="39">
        <v>1</v>
      </c>
      <c r="B35" s="36" t="s">
        <v>381</v>
      </c>
      <c r="C35" s="39" t="s">
        <v>174</v>
      </c>
      <c r="D35" s="139" t="s">
        <v>329</v>
      </c>
      <c r="E35" s="37" t="s">
        <v>11</v>
      </c>
      <c r="F35" s="49" t="s">
        <v>11</v>
      </c>
      <c r="G35" s="38" t="s">
        <v>28</v>
      </c>
      <c r="H35" s="39">
        <v>2.053</v>
      </c>
      <c r="I35" s="45">
        <v>1.2</v>
      </c>
      <c r="J35" s="55">
        <v>42</v>
      </c>
      <c r="K35" s="55">
        <f t="shared" si="0"/>
        <v>103.4712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12" customFormat="1" ht="15.75" customHeight="1" outlineLevel="2">
      <c r="A36" s="39">
        <v>2</v>
      </c>
      <c r="B36" s="36" t="s">
        <v>381</v>
      </c>
      <c r="C36" s="39" t="s">
        <v>176</v>
      </c>
      <c r="D36" s="39" t="s">
        <v>331</v>
      </c>
      <c r="E36" s="37" t="s">
        <v>16</v>
      </c>
      <c r="F36" s="49" t="s">
        <v>16</v>
      </c>
      <c r="G36" s="38" t="s">
        <v>28</v>
      </c>
      <c r="H36" s="39">
        <v>1.464</v>
      </c>
      <c r="I36" s="45">
        <v>1.2</v>
      </c>
      <c r="J36" s="55">
        <v>42</v>
      </c>
      <c r="K36" s="55">
        <f t="shared" si="0"/>
        <v>73.7856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12" customFormat="1" ht="15.75" customHeight="1" outlineLevel="2">
      <c r="A37" s="39">
        <v>3</v>
      </c>
      <c r="B37" s="36" t="s">
        <v>381</v>
      </c>
      <c r="C37" s="39" t="s">
        <v>177</v>
      </c>
      <c r="D37" s="39" t="s">
        <v>331</v>
      </c>
      <c r="E37" s="37" t="s">
        <v>16</v>
      </c>
      <c r="F37" s="49" t="s">
        <v>16</v>
      </c>
      <c r="G37" s="38" t="s">
        <v>28</v>
      </c>
      <c r="H37" s="39">
        <v>0.803</v>
      </c>
      <c r="I37" s="45">
        <v>1</v>
      </c>
      <c r="J37" s="55">
        <v>42</v>
      </c>
      <c r="K37" s="55">
        <f t="shared" si="0"/>
        <v>33.726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12" customFormat="1" ht="15.75" customHeight="1" outlineLevel="2">
      <c r="A38" s="39">
        <v>4</v>
      </c>
      <c r="B38" s="41" t="s">
        <v>381</v>
      </c>
      <c r="C38" s="27" t="s">
        <v>480</v>
      </c>
      <c r="D38" s="27" t="s">
        <v>481</v>
      </c>
      <c r="E38" s="41" t="s">
        <v>20</v>
      </c>
      <c r="F38" s="121" t="s">
        <v>20</v>
      </c>
      <c r="G38" s="38" t="s">
        <v>28</v>
      </c>
      <c r="H38" s="27">
        <v>4.901</v>
      </c>
      <c r="I38" s="45">
        <v>1.2</v>
      </c>
      <c r="J38" s="55">
        <v>42</v>
      </c>
      <c r="K38" s="55">
        <f t="shared" si="0"/>
        <v>247.0104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s="12" customFormat="1" ht="15.75" customHeight="1" outlineLevel="2">
      <c r="A39" s="162">
        <v>5</v>
      </c>
      <c r="B39" s="151" t="s">
        <v>381</v>
      </c>
      <c r="C39" s="162" t="s">
        <v>178</v>
      </c>
      <c r="D39" s="162" t="s">
        <v>332</v>
      </c>
      <c r="E39" s="193" t="s">
        <v>11</v>
      </c>
      <c r="F39" s="194" t="s">
        <v>11</v>
      </c>
      <c r="G39" s="151" t="s">
        <v>28</v>
      </c>
      <c r="H39" s="162">
        <v>1.151</v>
      </c>
      <c r="I39" s="96">
        <v>1.2</v>
      </c>
      <c r="J39" s="153">
        <v>42</v>
      </c>
      <c r="K39" s="153">
        <f t="shared" si="0"/>
        <v>58.0104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40" s="63" customFormat="1" ht="15.75" customHeight="1" outlineLevel="2">
      <c r="A40" s="39">
        <v>6</v>
      </c>
      <c r="B40" s="36" t="s">
        <v>381</v>
      </c>
      <c r="C40" s="213" t="s">
        <v>175</v>
      </c>
      <c r="D40" s="213" t="s">
        <v>330</v>
      </c>
      <c r="E40" s="214" t="s">
        <v>18</v>
      </c>
      <c r="F40" s="214" t="s">
        <v>18</v>
      </c>
      <c r="G40" s="36" t="s">
        <v>28</v>
      </c>
      <c r="H40" s="213">
        <v>1.907</v>
      </c>
      <c r="I40" s="142">
        <v>0.7</v>
      </c>
      <c r="J40" s="55">
        <v>42</v>
      </c>
      <c r="K40" s="55">
        <f t="shared" si="0"/>
        <v>56.065799999999996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147"/>
      <c r="AC40" s="147"/>
      <c r="AD40" s="147"/>
      <c r="AE40" s="147"/>
      <c r="AF40" s="147"/>
      <c r="AG40" s="147"/>
      <c r="AH40" s="147"/>
      <c r="AI40" s="218"/>
      <c r="AJ40" s="146"/>
      <c r="AK40" s="146"/>
      <c r="AL40" s="146"/>
      <c r="AM40" s="146"/>
      <c r="AN40" s="146"/>
    </row>
    <row r="41" spans="1:40" s="63" customFormat="1" ht="15.75" customHeight="1" outlineLevel="2">
      <c r="A41" s="39">
        <v>7</v>
      </c>
      <c r="B41" s="36" t="s">
        <v>381</v>
      </c>
      <c r="C41" s="210" t="s">
        <v>482</v>
      </c>
      <c r="D41" s="210" t="s">
        <v>483</v>
      </c>
      <c r="E41" s="211" t="s">
        <v>35</v>
      </c>
      <c r="F41" s="214" t="s">
        <v>35</v>
      </c>
      <c r="G41" s="36" t="s">
        <v>28</v>
      </c>
      <c r="H41" s="210">
        <v>7.998</v>
      </c>
      <c r="I41" s="142">
        <v>0.7</v>
      </c>
      <c r="J41" s="55">
        <v>42</v>
      </c>
      <c r="K41" s="55">
        <f t="shared" si="0"/>
        <v>235.14119999999997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147"/>
      <c r="AC41" s="147"/>
      <c r="AD41" s="147"/>
      <c r="AE41" s="147"/>
      <c r="AF41" s="147"/>
      <c r="AG41" s="147"/>
      <c r="AH41" s="147"/>
      <c r="AI41" s="218"/>
      <c r="AJ41" s="146"/>
      <c r="AK41" s="146"/>
      <c r="AL41" s="146"/>
      <c r="AM41" s="146"/>
      <c r="AN41" s="146"/>
    </row>
    <row r="42" spans="1:70" s="12" customFormat="1" ht="15.75" customHeight="1" outlineLevel="1">
      <c r="A42" s="163"/>
      <c r="B42" s="195" t="s">
        <v>590</v>
      </c>
      <c r="C42" s="163"/>
      <c r="D42" s="163"/>
      <c r="E42" s="165"/>
      <c r="F42" s="196"/>
      <c r="G42" s="158"/>
      <c r="H42" s="160">
        <f>SUM(H35:H41)</f>
        <v>20.277</v>
      </c>
      <c r="I42" s="196"/>
      <c r="J42" s="159"/>
      <c r="K42" s="227"/>
      <c r="L42" s="62"/>
      <c r="M42" s="62"/>
      <c r="N42" s="9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s="12" customFormat="1" ht="15.75" customHeight="1" outlineLevel="1">
      <c r="A43" s="39"/>
      <c r="B43" s="31"/>
      <c r="C43" s="27"/>
      <c r="D43" s="27"/>
      <c r="E43" s="41"/>
      <c r="F43" s="45"/>
      <c r="G43" s="38"/>
      <c r="H43" s="58"/>
      <c r="I43" s="45"/>
      <c r="J43" s="54"/>
      <c r="K43" s="55"/>
      <c r="L43" s="62"/>
      <c r="M43" s="62"/>
      <c r="N43" s="9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s="12" customFormat="1" ht="15.75" customHeight="1" outlineLevel="1">
      <c r="A44" s="39"/>
      <c r="B44" s="40"/>
      <c r="C44" s="39"/>
      <c r="D44" s="39"/>
      <c r="E44" s="37"/>
      <c r="F44" s="49"/>
      <c r="G44" s="38"/>
      <c r="H44" s="39"/>
      <c r="I44" s="49"/>
      <c r="J44" s="54"/>
      <c r="K44" s="55"/>
      <c r="L44" s="62"/>
      <c r="M44" s="62"/>
      <c r="N44" s="9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34" s="2" customFormat="1" ht="15.75" customHeight="1" outlineLevel="1">
      <c r="A45" s="39"/>
      <c r="B45" s="36"/>
      <c r="C45" s="39"/>
      <c r="D45" s="39"/>
      <c r="E45" s="37"/>
      <c r="F45" s="49"/>
      <c r="G45" s="38"/>
      <c r="H45" s="39"/>
      <c r="I45" s="49"/>
      <c r="J45" s="54"/>
      <c r="K45" s="55"/>
      <c r="L45" s="62"/>
      <c r="M45" s="62"/>
      <c r="N45" s="9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70" s="1" customFormat="1" ht="15.75" customHeight="1" outlineLevel="2">
      <c r="A46" s="27">
        <v>1</v>
      </c>
      <c r="B46" s="41" t="s">
        <v>380</v>
      </c>
      <c r="C46" s="65" t="s">
        <v>298</v>
      </c>
      <c r="D46" s="143" t="s">
        <v>42</v>
      </c>
      <c r="E46" s="30" t="s">
        <v>11</v>
      </c>
      <c r="F46" s="35" t="s">
        <v>11</v>
      </c>
      <c r="G46" s="42" t="s">
        <v>28</v>
      </c>
      <c r="H46" s="65">
        <v>1.268</v>
      </c>
      <c r="I46" s="45">
        <v>1.2</v>
      </c>
      <c r="J46" s="55">
        <v>41</v>
      </c>
      <c r="K46" s="55">
        <f t="shared" si="0"/>
        <v>62.385600000000004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18"/>
      <c r="AC46" s="18"/>
      <c r="AD46" s="18"/>
      <c r="AE46" s="18"/>
      <c r="AF46" s="18"/>
      <c r="AG46" s="18"/>
      <c r="AH46" s="18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s="1" customFormat="1" ht="15.75" customHeight="1" outlineLevel="2">
      <c r="A47" s="27">
        <v>2</v>
      </c>
      <c r="B47" s="41" t="s">
        <v>380</v>
      </c>
      <c r="C47" s="65" t="s">
        <v>299</v>
      </c>
      <c r="D47" s="143" t="s">
        <v>42</v>
      </c>
      <c r="E47" s="30" t="s">
        <v>20</v>
      </c>
      <c r="F47" s="121" t="s">
        <v>20</v>
      </c>
      <c r="G47" s="42" t="s">
        <v>28</v>
      </c>
      <c r="H47" s="65">
        <v>1.418</v>
      </c>
      <c r="I47" s="45">
        <v>1.2</v>
      </c>
      <c r="J47" s="55">
        <v>41</v>
      </c>
      <c r="K47" s="55">
        <f t="shared" si="0"/>
        <v>69.76559999999999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18"/>
      <c r="AC47" s="18"/>
      <c r="AD47" s="18"/>
      <c r="AE47" s="18"/>
      <c r="AF47" s="18"/>
      <c r="AG47" s="18"/>
      <c r="AH47" s="18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s="1" customFormat="1" ht="15.75" customHeight="1" outlineLevel="2">
      <c r="A48" s="27">
        <v>3</v>
      </c>
      <c r="B48" s="41" t="s">
        <v>380</v>
      </c>
      <c r="C48" s="65" t="s">
        <v>300</v>
      </c>
      <c r="D48" s="113" t="s">
        <v>10</v>
      </c>
      <c r="E48" s="30" t="s">
        <v>18</v>
      </c>
      <c r="F48" s="23" t="s">
        <v>18</v>
      </c>
      <c r="G48" s="115" t="s">
        <v>28</v>
      </c>
      <c r="H48" s="65">
        <v>2.593</v>
      </c>
      <c r="I48" s="132">
        <v>0.7</v>
      </c>
      <c r="J48" s="55">
        <v>41</v>
      </c>
      <c r="K48" s="55">
        <f t="shared" si="0"/>
        <v>74.4191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>
        <f>(AH48+7.44)</f>
        <v>7.44</v>
      </c>
      <c r="AJ48" s="98">
        <f>(AI48+7.44)</f>
        <v>14.88</v>
      </c>
      <c r="AK48" s="98">
        <f>(AJ48+7.44)</f>
        <v>22.32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s="1" customFormat="1" ht="15.75" customHeight="1" outlineLevel="2">
      <c r="A49" s="27">
        <v>4</v>
      </c>
      <c r="B49" s="41" t="s">
        <v>380</v>
      </c>
      <c r="C49" s="65" t="s">
        <v>301</v>
      </c>
      <c r="D49" s="113" t="s">
        <v>10</v>
      </c>
      <c r="E49" s="30" t="s">
        <v>18</v>
      </c>
      <c r="F49" s="23" t="s">
        <v>18</v>
      </c>
      <c r="G49" s="115" t="s">
        <v>28</v>
      </c>
      <c r="H49" s="65">
        <v>2.241</v>
      </c>
      <c r="I49" s="132">
        <v>0.7</v>
      </c>
      <c r="J49" s="55">
        <v>41</v>
      </c>
      <c r="K49" s="55">
        <f t="shared" si="0"/>
        <v>64.3167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>
        <f>(AH49+6.43)</f>
        <v>6.43</v>
      </c>
      <c r="AJ49" s="98">
        <f>(AI49+6.43)</f>
        <v>12.86</v>
      </c>
      <c r="AK49" s="98">
        <f>(AJ49+6.43)</f>
        <v>19.29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s="1" customFormat="1" ht="15.75" customHeight="1" outlineLevel="2">
      <c r="A50" s="27">
        <v>5</v>
      </c>
      <c r="B50" s="41" t="s">
        <v>380</v>
      </c>
      <c r="C50" s="65" t="s">
        <v>302</v>
      </c>
      <c r="D50" s="113" t="s">
        <v>10</v>
      </c>
      <c r="E50" s="30" t="s">
        <v>18</v>
      </c>
      <c r="F50" s="23" t="s">
        <v>18</v>
      </c>
      <c r="G50" s="115" t="s">
        <v>28</v>
      </c>
      <c r="H50" s="65">
        <v>1.101</v>
      </c>
      <c r="I50" s="132">
        <v>0.7</v>
      </c>
      <c r="J50" s="55">
        <v>41</v>
      </c>
      <c r="K50" s="55">
        <f t="shared" si="0"/>
        <v>31.598699999999997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>
        <f>(AH50+3.16)</f>
        <v>3.16</v>
      </c>
      <c r="AJ50" s="98">
        <f>(AI50+3.16)</f>
        <v>6.32</v>
      </c>
      <c r="AK50" s="98">
        <f>(AJ50+3.16)</f>
        <v>9.48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s="1" customFormat="1" ht="15.75" customHeight="1" outlineLevel="2">
      <c r="A51" s="27">
        <v>6</v>
      </c>
      <c r="B51" s="41" t="s">
        <v>380</v>
      </c>
      <c r="C51" s="65" t="s">
        <v>303</v>
      </c>
      <c r="D51" s="113" t="s">
        <v>10</v>
      </c>
      <c r="E51" s="30" t="s">
        <v>18</v>
      </c>
      <c r="F51" s="23" t="s">
        <v>18</v>
      </c>
      <c r="G51" s="115" t="s">
        <v>28</v>
      </c>
      <c r="H51" s="65">
        <v>1.396</v>
      </c>
      <c r="I51" s="132">
        <v>0.7</v>
      </c>
      <c r="J51" s="55">
        <v>41</v>
      </c>
      <c r="K51" s="55">
        <f t="shared" si="0"/>
        <v>40.06519999999999</v>
      </c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>
        <f>(AH51+4.01)</f>
        <v>4.01</v>
      </c>
      <c r="AJ51" s="98">
        <f>(AI51+4.01)</f>
        <v>8.02</v>
      </c>
      <c r="AK51" s="98">
        <f>(AJ51+4.01)</f>
        <v>12.03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s="1" customFormat="1" ht="15.75" customHeight="1" outlineLevel="2">
      <c r="A52" s="109">
        <v>7</v>
      </c>
      <c r="B52" s="149" t="s">
        <v>380</v>
      </c>
      <c r="C52" s="181" t="s">
        <v>304</v>
      </c>
      <c r="D52" s="179" t="s">
        <v>10</v>
      </c>
      <c r="E52" s="180" t="s">
        <v>18</v>
      </c>
      <c r="F52" s="197" t="s">
        <v>18</v>
      </c>
      <c r="G52" s="115" t="s">
        <v>28</v>
      </c>
      <c r="H52" s="181">
        <v>1.266</v>
      </c>
      <c r="I52" s="182">
        <v>0.7</v>
      </c>
      <c r="J52" s="153">
        <v>41</v>
      </c>
      <c r="K52" s="153">
        <f t="shared" si="0"/>
        <v>36.3342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>
        <f aca="true" t="shared" si="1" ref="AI52:AN52">(AH52+3.63)</f>
        <v>3.63</v>
      </c>
      <c r="AJ52" s="98">
        <f t="shared" si="1"/>
        <v>7.26</v>
      </c>
      <c r="AK52" s="98">
        <f t="shared" si="1"/>
        <v>10.89</v>
      </c>
      <c r="AL52" s="98">
        <f t="shared" si="1"/>
        <v>14.52</v>
      </c>
      <c r="AM52" s="98">
        <f t="shared" si="1"/>
        <v>18.15</v>
      </c>
      <c r="AN52" s="98">
        <f t="shared" si="1"/>
        <v>21.779999999999998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35" s="63" customFormat="1" ht="15.75" customHeight="1" outlineLevel="2">
      <c r="A53" s="27">
        <v>8</v>
      </c>
      <c r="B53" s="41" t="s">
        <v>380</v>
      </c>
      <c r="C53" s="210" t="s">
        <v>439</v>
      </c>
      <c r="D53" s="210" t="s">
        <v>440</v>
      </c>
      <c r="E53" s="211" t="s">
        <v>18</v>
      </c>
      <c r="F53" s="214" t="s">
        <v>18</v>
      </c>
      <c r="G53" s="26" t="s">
        <v>28</v>
      </c>
      <c r="H53" s="210">
        <v>134.626</v>
      </c>
      <c r="I53" s="142">
        <v>1.2</v>
      </c>
      <c r="J53" s="55">
        <v>41</v>
      </c>
      <c r="K53" s="55">
        <f t="shared" si="0"/>
        <v>6623.5992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221"/>
      <c r="AC53" s="221"/>
      <c r="AD53" s="221"/>
      <c r="AE53" s="221"/>
      <c r="AF53" s="221"/>
      <c r="AG53" s="221"/>
      <c r="AH53" s="221"/>
      <c r="AI53" s="217"/>
    </row>
    <row r="54" spans="1:35" s="63" customFormat="1" ht="15.75" customHeight="1" outlineLevel="2">
      <c r="A54" s="27">
        <v>9</v>
      </c>
      <c r="B54" s="41" t="s">
        <v>380</v>
      </c>
      <c r="C54" s="210" t="s">
        <v>442</v>
      </c>
      <c r="D54" s="210" t="s">
        <v>443</v>
      </c>
      <c r="E54" s="214" t="s">
        <v>20</v>
      </c>
      <c r="F54" s="214" t="s">
        <v>20</v>
      </c>
      <c r="G54" s="26" t="s">
        <v>28</v>
      </c>
      <c r="H54" s="210">
        <v>11.999</v>
      </c>
      <c r="I54" s="142">
        <v>1.2</v>
      </c>
      <c r="J54" s="55">
        <v>41</v>
      </c>
      <c r="K54" s="55">
        <f t="shared" si="0"/>
        <v>590.3507999999999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221"/>
      <c r="AC54" s="221"/>
      <c r="AD54" s="221"/>
      <c r="AE54" s="221"/>
      <c r="AF54" s="221"/>
      <c r="AG54" s="221"/>
      <c r="AH54" s="221"/>
      <c r="AI54" s="217"/>
    </row>
    <row r="55" spans="1:35" s="63" customFormat="1" ht="15.75" customHeight="1" outlineLevel="2">
      <c r="A55" s="27">
        <v>10</v>
      </c>
      <c r="B55" s="41" t="s">
        <v>380</v>
      </c>
      <c r="C55" s="210" t="s">
        <v>441</v>
      </c>
      <c r="D55" s="210" t="s">
        <v>42</v>
      </c>
      <c r="E55" s="214" t="s">
        <v>11</v>
      </c>
      <c r="F55" s="214" t="s">
        <v>11</v>
      </c>
      <c r="G55" s="26" t="s">
        <v>28</v>
      </c>
      <c r="H55" s="210">
        <v>10.599</v>
      </c>
      <c r="I55" s="142">
        <v>1.2</v>
      </c>
      <c r="J55" s="55">
        <v>41</v>
      </c>
      <c r="K55" s="55">
        <f t="shared" si="0"/>
        <v>521.4707999999999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221"/>
      <c r="AC55" s="221"/>
      <c r="AD55" s="221"/>
      <c r="AE55" s="221"/>
      <c r="AF55" s="221"/>
      <c r="AG55" s="221"/>
      <c r="AH55" s="221"/>
      <c r="AI55" s="217"/>
    </row>
    <row r="56" spans="1:34" s="59" customFormat="1" ht="15.75" customHeight="1" outlineLevel="1">
      <c r="A56" s="154"/>
      <c r="B56" s="155" t="s">
        <v>590</v>
      </c>
      <c r="C56" s="198"/>
      <c r="D56" s="199"/>
      <c r="E56" s="188"/>
      <c r="F56" s="157"/>
      <c r="G56" s="200"/>
      <c r="H56" s="171">
        <f>SUM(H46:H55)</f>
        <v>168.50699999999998</v>
      </c>
      <c r="I56" s="157"/>
      <c r="J56" s="159"/>
      <c r="K56" s="227"/>
      <c r="L56" s="62"/>
      <c r="M56" s="62"/>
      <c r="N56" s="97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70" s="1" customFormat="1" ht="15.75" customHeight="1" outlineLevel="1">
      <c r="A57" s="27"/>
      <c r="B57" s="40"/>
      <c r="C57" s="65"/>
      <c r="D57" s="143"/>
      <c r="E57" s="30"/>
      <c r="F57" s="121"/>
      <c r="G57" s="42"/>
      <c r="H57" s="87"/>
      <c r="I57" s="121"/>
      <c r="J57" s="54"/>
      <c r="K57" s="55"/>
      <c r="L57" s="62"/>
      <c r="M57" s="62"/>
      <c r="N57" s="97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34" s="2" customFormat="1" ht="15.75" customHeight="1" outlineLevel="1">
      <c r="A58" s="27"/>
      <c r="B58" s="41"/>
      <c r="C58" s="27"/>
      <c r="D58" s="27"/>
      <c r="E58" s="41"/>
      <c r="F58" s="45"/>
      <c r="G58" s="38"/>
      <c r="H58" s="27"/>
      <c r="I58" s="45"/>
      <c r="J58" s="54"/>
      <c r="K58" s="55"/>
      <c r="L58" s="62"/>
      <c r="M58" s="62"/>
      <c r="N58" s="97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s="2" customFormat="1" ht="15.75" customHeight="1" outlineLevel="1">
      <c r="A59" s="27"/>
      <c r="B59" s="26"/>
      <c r="C59" s="65"/>
      <c r="D59" s="143"/>
      <c r="E59" s="30"/>
      <c r="F59" s="121"/>
      <c r="G59" s="42"/>
      <c r="H59" s="65"/>
      <c r="I59" s="121"/>
      <c r="J59" s="54"/>
      <c r="K59" s="55"/>
      <c r="L59" s="62"/>
      <c r="M59" s="62"/>
      <c r="N59" s="97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70" s="1" customFormat="1" ht="15.75" customHeight="1" outlineLevel="2">
      <c r="A60" s="27">
        <v>1</v>
      </c>
      <c r="B60" s="41" t="s">
        <v>490</v>
      </c>
      <c r="C60" s="27" t="s">
        <v>497</v>
      </c>
      <c r="D60" s="27" t="s">
        <v>498</v>
      </c>
      <c r="E60" s="41" t="s">
        <v>16</v>
      </c>
      <c r="F60" s="142" t="s">
        <v>16</v>
      </c>
      <c r="G60" s="36" t="s">
        <v>28</v>
      </c>
      <c r="H60" s="27">
        <v>6.882</v>
      </c>
      <c r="I60" s="45">
        <v>1.2</v>
      </c>
      <c r="J60" s="55">
        <v>37</v>
      </c>
      <c r="K60" s="55">
        <f aca="true" t="shared" si="2" ref="K60:K125">(H60*I60*J60)</f>
        <v>305.5608</v>
      </c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18"/>
      <c r="AC60" s="18"/>
      <c r="AD60" s="18"/>
      <c r="AE60" s="18"/>
      <c r="AF60" s="18"/>
      <c r="AG60" s="18"/>
      <c r="AH60" s="18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s="1" customFormat="1" ht="15.75" customHeight="1" outlineLevel="2">
      <c r="A61" s="109">
        <v>2</v>
      </c>
      <c r="B61" s="149" t="s">
        <v>490</v>
      </c>
      <c r="C61" s="109" t="s">
        <v>493</v>
      </c>
      <c r="D61" s="109" t="s">
        <v>494</v>
      </c>
      <c r="E61" s="149" t="s">
        <v>16</v>
      </c>
      <c r="F61" s="150" t="s">
        <v>16</v>
      </c>
      <c r="G61" s="151" t="s">
        <v>28</v>
      </c>
      <c r="H61" s="152">
        <v>4.499</v>
      </c>
      <c r="I61" s="96">
        <v>1.2</v>
      </c>
      <c r="J61" s="153">
        <v>37</v>
      </c>
      <c r="K61" s="153">
        <f t="shared" si="2"/>
        <v>199.7556</v>
      </c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40" s="63" customFormat="1" ht="15.75" customHeight="1" outlineLevel="2">
      <c r="A62" s="27">
        <v>3</v>
      </c>
      <c r="B62" s="149" t="s">
        <v>490</v>
      </c>
      <c r="C62" s="210" t="s">
        <v>501</v>
      </c>
      <c r="D62" s="210" t="s">
        <v>502</v>
      </c>
      <c r="E62" s="211" t="s">
        <v>40</v>
      </c>
      <c r="F62" s="211" t="s">
        <v>40</v>
      </c>
      <c r="G62" s="36" t="s">
        <v>28</v>
      </c>
      <c r="H62" s="213">
        <v>3.672</v>
      </c>
      <c r="I62" s="142">
        <v>0.7</v>
      </c>
      <c r="J62" s="153">
        <v>37</v>
      </c>
      <c r="K62" s="153">
        <f t="shared" si="2"/>
        <v>95.1048</v>
      </c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147"/>
      <c r="AC62" s="147"/>
      <c r="AD62" s="147"/>
      <c r="AE62" s="147"/>
      <c r="AF62" s="147"/>
      <c r="AG62" s="147"/>
      <c r="AH62" s="147"/>
      <c r="AI62" s="218"/>
      <c r="AJ62" s="146"/>
      <c r="AK62" s="146"/>
      <c r="AL62" s="146"/>
      <c r="AM62" s="146"/>
      <c r="AN62" s="146"/>
    </row>
    <row r="63" spans="1:40" s="63" customFormat="1" ht="15.75" customHeight="1" outlineLevel="2">
      <c r="A63" s="27">
        <v>4</v>
      </c>
      <c r="B63" s="149" t="s">
        <v>490</v>
      </c>
      <c r="C63" s="210" t="s">
        <v>491</v>
      </c>
      <c r="D63" s="210" t="s">
        <v>492</v>
      </c>
      <c r="E63" s="211" t="s">
        <v>16</v>
      </c>
      <c r="F63" s="142" t="s">
        <v>16</v>
      </c>
      <c r="G63" s="36" t="s">
        <v>28</v>
      </c>
      <c r="H63" s="210">
        <v>7.719</v>
      </c>
      <c r="I63" s="142">
        <v>1.2</v>
      </c>
      <c r="J63" s="153">
        <v>37</v>
      </c>
      <c r="K63" s="153">
        <f t="shared" si="2"/>
        <v>342.72360000000003</v>
      </c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147"/>
      <c r="AC63" s="147"/>
      <c r="AD63" s="147"/>
      <c r="AE63" s="147"/>
      <c r="AF63" s="147"/>
      <c r="AG63" s="147"/>
      <c r="AH63" s="147"/>
      <c r="AI63" s="218"/>
      <c r="AJ63" s="146"/>
      <c r="AK63" s="146"/>
      <c r="AL63" s="146"/>
      <c r="AM63" s="146"/>
      <c r="AN63" s="146"/>
    </row>
    <row r="64" spans="1:40" s="63" customFormat="1" ht="15.75" customHeight="1" outlineLevel="2">
      <c r="A64" s="27">
        <v>5</v>
      </c>
      <c r="B64" s="149" t="s">
        <v>490</v>
      </c>
      <c r="C64" s="210" t="s">
        <v>495</v>
      </c>
      <c r="D64" s="210" t="s">
        <v>496</v>
      </c>
      <c r="E64" s="211" t="s">
        <v>16</v>
      </c>
      <c r="F64" s="142" t="s">
        <v>16</v>
      </c>
      <c r="G64" s="36" t="s">
        <v>28</v>
      </c>
      <c r="H64" s="210">
        <v>9.698</v>
      </c>
      <c r="I64" s="142">
        <v>1.2</v>
      </c>
      <c r="J64" s="153">
        <v>37</v>
      </c>
      <c r="K64" s="153">
        <f t="shared" si="2"/>
        <v>430.5912</v>
      </c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147"/>
      <c r="AC64" s="147"/>
      <c r="AD64" s="147"/>
      <c r="AE64" s="147"/>
      <c r="AF64" s="147"/>
      <c r="AG64" s="147"/>
      <c r="AH64" s="147"/>
      <c r="AI64" s="218"/>
      <c r="AJ64" s="146"/>
      <c r="AK64" s="146"/>
      <c r="AL64" s="146"/>
      <c r="AM64" s="146"/>
      <c r="AN64" s="146"/>
    </row>
    <row r="65" spans="1:40" s="63" customFormat="1" ht="15.75" customHeight="1" outlineLevel="2">
      <c r="A65" s="27">
        <v>6</v>
      </c>
      <c r="B65" s="149" t="s">
        <v>490</v>
      </c>
      <c r="C65" s="210" t="s">
        <v>499</v>
      </c>
      <c r="D65" s="210" t="s">
        <v>500</v>
      </c>
      <c r="E65" s="211" t="s">
        <v>18</v>
      </c>
      <c r="F65" s="211" t="s">
        <v>18</v>
      </c>
      <c r="G65" s="36" t="s">
        <v>28</v>
      </c>
      <c r="H65" s="210">
        <v>16.945</v>
      </c>
      <c r="I65" s="142">
        <v>1.2</v>
      </c>
      <c r="J65" s="153">
        <v>37</v>
      </c>
      <c r="K65" s="153">
        <f t="shared" si="2"/>
        <v>752.358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147"/>
      <c r="AC65" s="147"/>
      <c r="AD65" s="147"/>
      <c r="AE65" s="147"/>
      <c r="AF65" s="147"/>
      <c r="AG65" s="147"/>
      <c r="AH65" s="147"/>
      <c r="AI65" s="218"/>
      <c r="AJ65" s="146"/>
      <c r="AK65" s="146"/>
      <c r="AL65" s="146"/>
      <c r="AM65" s="146"/>
      <c r="AN65" s="146"/>
    </row>
    <row r="66" spans="1:70" s="1" customFormat="1" ht="15.75" customHeight="1" outlineLevel="1">
      <c r="A66" s="154"/>
      <c r="B66" s="155" t="s">
        <v>590</v>
      </c>
      <c r="C66" s="154"/>
      <c r="D66" s="154"/>
      <c r="E66" s="156"/>
      <c r="F66" s="157"/>
      <c r="G66" s="158"/>
      <c r="H66" s="148">
        <f>SUM(H60:H65)</f>
        <v>49.415</v>
      </c>
      <c r="I66" s="157"/>
      <c r="J66" s="159"/>
      <c r="K66" s="227"/>
      <c r="L66" s="62"/>
      <c r="M66" s="62"/>
      <c r="N66" s="97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s="1" customFormat="1" ht="15.75" customHeight="1" outlineLevel="1">
      <c r="A67" s="27"/>
      <c r="B67" s="40"/>
      <c r="C67" s="65"/>
      <c r="D67" s="143"/>
      <c r="E67" s="30"/>
      <c r="F67" s="121"/>
      <c r="G67" s="42"/>
      <c r="H67" s="87"/>
      <c r="I67" s="121"/>
      <c r="J67" s="54"/>
      <c r="K67" s="55"/>
      <c r="L67" s="62"/>
      <c r="M67" s="62"/>
      <c r="N67" s="9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s="1" customFormat="1" ht="15.75" customHeight="1" outlineLevel="1">
      <c r="A68" s="27"/>
      <c r="B68" s="26"/>
      <c r="C68" s="65"/>
      <c r="D68" s="143"/>
      <c r="E68" s="30"/>
      <c r="F68" s="121"/>
      <c r="G68" s="42"/>
      <c r="H68" s="65"/>
      <c r="I68" s="121"/>
      <c r="J68" s="54"/>
      <c r="K68" s="55"/>
      <c r="L68" s="62"/>
      <c r="M68" s="62"/>
      <c r="N68" s="97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s="12" customFormat="1" ht="15.75" customHeight="1" outlineLevel="1">
      <c r="A69" s="143"/>
      <c r="B69" s="26"/>
      <c r="C69" s="65"/>
      <c r="D69" s="143"/>
      <c r="E69" s="30"/>
      <c r="F69" s="121"/>
      <c r="G69" s="42"/>
      <c r="H69" s="65"/>
      <c r="I69" s="121"/>
      <c r="J69" s="54"/>
      <c r="K69" s="55"/>
      <c r="L69" s="62"/>
      <c r="M69" s="62"/>
      <c r="N69" s="97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s="3" customFormat="1" ht="15.75" customHeight="1" outlineLevel="1">
      <c r="A70" s="139"/>
      <c r="B70" s="43"/>
      <c r="C70" s="67"/>
      <c r="D70" s="139"/>
      <c r="E70" s="28"/>
      <c r="F70" s="142"/>
      <c r="G70" s="141"/>
      <c r="H70" s="79"/>
      <c r="I70" s="45"/>
      <c r="J70" s="54"/>
      <c r="K70" s="55"/>
      <c r="L70" s="62"/>
      <c r="M70" s="62"/>
      <c r="N70" s="97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s="12" customFormat="1" ht="15.75" customHeight="1" outlineLevel="2">
      <c r="A71" s="39">
        <v>1</v>
      </c>
      <c r="B71" s="36" t="s">
        <v>379</v>
      </c>
      <c r="C71" s="39" t="s">
        <v>326</v>
      </c>
      <c r="D71" s="139" t="s">
        <v>102</v>
      </c>
      <c r="E71" s="37" t="s">
        <v>20</v>
      </c>
      <c r="F71" s="121" t="s">
        <v>20</v>
      </c>
      <c r="G71" s="38" t="s">
        <v>28</v>
      </c>
      <c r="H71" s="39">
        <v>2.591</v>
      </c>
      <c r="I71" s="45">
        <v>1.2</v>
      </c>
      <c r="J71" s="55">
        <v>40</v>
      </c>
      <c r="K71" s="55">
        <f t="shared" si="2"/>
        <v>124.368</v>
      </c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18"/>
      <c r="AG71" s="18"/>
      <c r="AH71" s="18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s="3" customFormat="1" ht="15.75" customHeight="1" outlineLevel="2">
      <c r="A72" s="39">
        <v>2</v>
      </c>
      <c r="B72" s="36" t="s">
        <v>379</v>
      </c>
      <c r="C72" s="27" t="s">
        <v>518</v>
      </c>
      <c r="D72" s="27" t="s">
        <v>519</v>
      </c>
      <c r="E72" s="144"/>
      <c r="F72" s="45" t="s">
        <v>16</v>
      </c>
      <c r="G72" s="91" t="s">
        <v>14</v>
      </c>
      <c r="H72" s="76">
        <v>1.8</v>
      </c>
      <c r="I72" s="45">
        <v>1.2</v>
      </c>
      <c r="J72" s="55">
        <v>40</v>
      </c>
      <c r="K72" s="55">
        <f t="shared" si="2"/>
        <v>86.4</v>
      </c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18"/>
      <c r="AG72" s="18"/>
      <c r="AH72" s="18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s="3" customFormat="1" ht="15.75" customHeight="1" outlineLevel="2">
      <c r="A73" s="39">
        <v>3</v>
      </c>
      <c r="B73" s="103" t="s">
        <v>379</v>
      </c>
      <c r="C73" s="27" t="s">
        <v>515</v>
      </c>
      <c r="D73" s="104" t="s">
        <v>38</v>
      </c>
      <c r="E73" s="144"/>
      <c r="F73" s="142" t="s">
        <v>16</v>
      </c>
      <c r="G73" s="105" t="s">
        <v>14</v>
      </c>
      <c r="H73" s="27">
        <v>2.038</v>
      </c>
      <c r="I73" s="45">
        <v>1.2</v>
      </c>
      <c r="J73" s="55">
        <v>40</v>
      </c>
      <c r="K73" s="55">
        <f t="shared" si="2"/>
        <v>97.82399999999998</v>
      </c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18"/>
      <c r="AG73" s="18"/>
      <c r="AH73" s="18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s="3" customFormat="1" ht="15.75" customHeight="1" outlineLevel="2">
      <c r="A74" s="39">
        <v>4</v>
      </c>
      <c r="B74" s="103" t="s">
        <v>379</v>
      </c>
      <c r="C74" s="27" t="s">
        <v>520</v>
      </c>
      <c r="D74" s="106" t="s">
        <v>521</v>
      </c>
      <c r="E74" s="144"/>
      <c r="F74" s="142" t="s">
        <v>20</v>
      </c>
      <c r="G74" s="107" t="s">
        <v>14</v>
      </c>
      <c r="H74" s="109">
        <v>1.899</v>
      </c>
      <c r="I74" s="45">
        <v>1.2</v>
      </c>
      <c r="J74" s="55">
        <v>40</v>
      </c>
      <c r="K74" s="55">
        <f t="shared" si="2"/>
        <v>91.152</v>
      </c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18"/>
      <c r="AG74" s="18"/>
      <c r="AH74" s="18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s="3" customFormat="1" ht="15.75" customHeight="1" outlineLevel="2">
      <c r="A75" s="39">
        <v>5</v>
      </c>
      <c r="B75" s="103" t="s">
        <v>379</v>
      </c>
      <c r="C75" s="27" t="s">
        <v>516</v>
      </c>
      <c r="D75" s="104" t="s">
        <v>517</v>
      </c>
      <c r="E75" s="144"/>
      <c r="F75" s="142" t="s">
        <v>16</v>
      </c>
      <c r="G75" s="107" t="s">
        <v>14</v>
      </c>
      <c r="H75" s="76">
        <v>1.96</v>
      </c>
      <c r="I75" s="45">
        <v>1.2</v>
      </c>
      <c r="J75" s="55">
        <v>40</v>
      </c>
      <c r="K75" s="55">
        <f t="shared" si="2"/>
        <v>94.08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18"/>
      <c r="AG75" s="18"/>
      <c r="AH75" s="18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s="3" customFormat="1" ht="15.75" customHeight="1" outlineLevel="2">
      <c r="A76" s="39">
        <v>6</v>
      </c>
      <c r="B76" s="103" t="s">
        <v>379</v>
      </c>
      <c r="C76" s="66" t="s">
        <v>126</v>
      </c>
      <c r="D76" s="116" t="s">
        <v>31</v>
      </c>
      <c r="E76" s="144" t="s">
        <v>32</v>
      </c>
      <c r="F76" s="29" t="s">
        <v>20</v>
      </c>
      <c r="G76" s="230" t="s">
        <v>91</v>
      </c>
      <c r="H76" s="139">
        <v>5.748</v>
      </c>
      <c r="I76" s="45">
        <v>1.2</v>
      </c>
      <c r="J76" s="55">
        <v>40</v>
      </c>
      <c r="K76" s="55">
        <f t="shared" si="2"/>
        <v>275.904</v>
      </c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18"/>
      <c r="AG76" s="18"/>
      <c r="AH76" s="18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s="3" customFormat="1" ht="15.75" customHeight="1" outlineLevel="2">
      <c r="A77" s="162">
        <v>7</v>
      </c>
      <c r="B77" s="107" t="s">
        <v>379</v>
      </c>
      <c r="C77" s="201" t="s">
        <v>587</v>
      </c>
      <c r="D77" s="202" t="s">
        <v>434</v>
      </c>
      <c r="E77" s="203"/>
      <c r="F77" s="150" t="s">
        <v>16</v>
      </c>
      <c r="G77" s="107" t="s">
        <v>14</v>
      </c>
      <c r="H77" s="204">
        <v>6</v>
      </c>
      <c r="I77" s="96">
        <v>1.2</v>
      </c>
      <c r="J77" s="153">
        <v>40</v>
      </c>
      <c r="K77" s="153">
        <f t="shared" si="2"/>
        <v>288</v>
      </c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18"/>
      <c r="AG77" s="18"/>
      <c r="AH77" s="18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35" s="63" customFormat="1" ht="15.75" customHeight="1" outlineLevel="2">
      <c r="A78" s="39">
        <v>8</v>
      </c>
      <c r="B78" s="36" t="s">
        <v>379</v>
      </c>
      <c r="C78" s="210" t="s">
        <v>433</v>
      </c>
      <c r="D78" s="210" t="s">
        <v>31</v>
      </c>
      <c r="E78" s="211" t="s">
        <v>40</v>
      </c>
      <c r="F78" s="214" t="s">
        <v>40</v>
      </c>
      <c r="G78" s="36" t="s">
        <v>14</v>
      </c>
      <c r="H78" s="210">
        <v>3.445</v>
      </c>
      <c r="I78" s="142">
        <v>0.7</v>
      </c>
      <c r="J78" s="55">
        <v>40</v>
      </c>
      <c r="K78" s="55">
        <f t="shared" si="2"/>
        <v>96.46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147"/>
      <c r="AC78" s="147"/>
      <c r="AD78" s="147"/>
      <c r="AE78" s="147"/>
      <c r="AF78" s="221"/>
      <c r="AG78" s="221"/>
      <c r="AH78" s="221"/>
      <c r="AI78" s="217"/>
    </row>
    <row r="79" spans="1:35" s="63" customFormat="1" ht="15.75" customHeight="1" outlineLevel="2">
      <c r="A79" s="39">
        <v>9</v>
      </c>
      <c r="B79" s="36" t="s">
        <v>379</v>
      </c>
      <c r="C79" s="210" t="s">
        <v>431</v>
      </c>
      <c r="D79" s="210" t="s">
        <v>432</v>
      </c>
      <c r="E79" s="211" t="s">
        <v>16</v>
      </c>
      <c r="F79" s="142" t="s">
        <v>16</v>
      </c>
      <c r="G79" s="36" t="s">
        <v>14</v>
      </c>
      <c r="H79" s="210">
        <v>3.341</v>
      </c>
      <c r="I79" s="142">
        <v>1.2</v>
      </c>
      <c r="J79" s="55">
        <v>40</v>
      </c>
      <c r="K79" s="55">
        <f t="shared" si="2"/>
        <v>160.368</v>
      </c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147"/>
      <c r="AC79" s="147"/>
      <c r="AD79" s="147"/>
      <c r="AE79" s="147"/>
      <c r="AF79" s="221"/>
      <c r="AG79" s="221"/>
      <c r="AH79" s="221"/>
      <c r="AI79" s="217"/>
    </row>
    <row r="80" spans="1:70" s="3" customFormat="1" ht="15.75" customHeight="1" outlineLevel="1">
      <c r="A80" s="163"/>
      <c r="B80" s="167" t="s">
        <v>590</v>
      </c>
      <c r="C80" s="205"/>
      <c r="D80" s="206"/>
      <c r="E80" s="169"/>
      <c r="F80" s="207"/>
      <c r="G80" s="208"/>
      <c r="H80" s="209">
        <f>SUM(H71:H79)</f>
        <v>28.822000000000003</v>
      </c>
      <c r="I80" s="207"/>
      <c r="J80" s="159"/>
      <c r="K80" s="227"/>
      <c r="L80" s="62"/>
      <c r="M80" s="62"/>
      <c r="N80" s="9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s="3" customFormat="1" ht="15.75" customHeight="1" outlineLevel="1">
      <c r="A81" s="39"/>
      <c r="B81" s="40"/>
      <c r="C81" s="66"/>
      <c r="D81" s="139"/>
      <c r="E81" s="144"/>
      <c r="F81" s="86"/>
      <c r="G81" s="86"/>
      <c r="H81" s="88"/>
      <c r="I81" s="86"/>
      <c r="J81" s="54"/>
      <c r="K81" s="55"/>
      <c r="L81" s="62"/>
      <c r="M81" s="62"/>
      <c r="N81" s="97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s="3" customFormat="1" ht="15.75" customHeight="1" outlineLevel="1">
      <c r="A82" s="139"/>
      <c r="B82" s="40"/>
      <c r="C82" s="66"/>
      <c r="D82" s="139"/>
      <c r="E82" s="144"/>
      <c r="F82" s="141"/>
      <c r="G82" s="141"/>
      <c r="H82" s="139"/>
      <c r="I82" s="44"/>
      <c r="J82" s="54"/>
      <c r="K82" s="55"/>
      <c r="L82" s="62"/>
      <c r="M82" s="62"/>
      <c r="N82" s="97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s="3" customFormat="1" ht="15.75" customHeight="1" outlineLevel="1">
      <c r="A83" s="139"/>
      <c r="B83" s="43"/>
      <c r="C83" s="67"/>
      <c r="D83" s="139"/>
      <c r="E83" s="28"/>
      <c r="F83" s="142"/>
      <c r="G83" s="141"/>
      <c r="H83" s="79"/>
      <c r="I83" s="45"/>
      <c r="J83" s="54"/>
      <c r="K83" s="55"/>
      <c r="L83" s="62"/>
      <c r="M83" s="62"/>
      <c r="N83" s="97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s="3" customFormat="1" ht="15.75" customHeight="1" outlineLevel="1">
      <c r="A84" s="139"/>
      <c r="B84" s="43"/>
      <c r="C84" s="67"/>
      <c r="D84" s="139"/>
      <c r="E84" s="28"/>
      <c r="F84" s="142"/>
      <c r="G84" s="141"/>
      <c r="H84" s="79"/>
      <c r="I84" s="45"/>
      <c r="J84" s="54"/>
      <c r="K84" s="55"/>
      <c r="L84" s="62"/>
      <c r="M84" s="62"/>
      <c r="N84" s="97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s="3" customFormat="1" ht="15.75" customHeight="1" outlineLevel="2">
      <c r="A85" s="139">
        <v>1</v>
      </c>
      <c r="B85" s="141" t="s">
        <v>378</v>
      </c>
      <c r="C85" s="39" t="s">
        <v>179</v>
      </c>
      <c r="D85" s="139" t="s">
        <v>333</v>
      </c>
      <c r="E85" s="37" t="s">
        <v>11</v>
      </c>
      <c r="F85" s="35" t="s">
        <v>11</v>
      </c>
      <c r="G85" s="36" t="s">
        <v>28</v>
      </c>
      <c r="H85" s="78">
        <v>2</v>
      </c>
      <c r="I85" s="45">
        <v>1.2</v>
      </c>
      <c r="J85" s="55">
        <v>47</v>
      </c>
      <c r="K85" s="55">
        <f t="shared" si="2"/>
        <v>112.8</v>
      </c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18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s="3" customFormat="1" ht="15.75" customHeight="1" outlineLevel="2">
      <c r="A86" s="139">
        <v>2</v>
      </c>
      <c r="B86" s="141" t="s">
        <v>378</v>
      </c>
      <c r="C86" s="39" t="s">
        <v>180</v>
      </c>
      <c r="D86" s="139" t="s">
        <v>42</v>
      </c>
      <c r="E86" s="37" t="s">
        <v>11</v>
      </c>
      <c r="F86" s="35" t="s">
        <v>11</v>
      </c>
      <c r="G86" s="36" t="s">
        <v>28</v>
      </c>
      <c r="H86" s="39">
        <v>0.684</v>
      </c>
      <c r="I86" s="49">
        <v>1</v>
      </c>
      <c r="J86" s="55">
        <v>47</v>
      </c>
      <c r="K86" s="55">
        <f t="shared" si="2"/>
        <v>32.148</v>
      </c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18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s="3" customFormat="1" ht="15.75" customHeight="1" outlineLevel="2">
      <c r="A87" s="139">
        <v>3</v>
      </c>
      <c r="B87" s="141" t="s">
        <v>378</v>
      </c>
      <c r="C87" s="39" t="s">
        <v>181</v>
      </c>
      <c r="D87" s="139" t="s">
        <v>42</v>
      </c>
      <c r="E87" s="37" t="s">
        <v>11</v>
      </c>
      <c r="F87" s="35" t="s">
        <v>11</v>
      </c>
      <c r="G87" s="36" t="s">
        <v>28</v>
      </c>
      <c r="H87" s="39">
        <v>0.689</v>
      </c>
      <c r="I87" s="49">
        <v>1</v>
      </c>
      <c r="J87" s="55">
        <v>47</v>
      </c>
      <c r="K87" s="55">
        <f t="shared" si="2"/>
        <v>32.382999999999996</v>
      </c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18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s="3" customFormat="1" ht="15.75" customHeight="1" outlineLevel="2">
      <c r="A88" s="139">
        <v>4</v>
      </c>
      <c r="B88" s="141" t="s">
        <v>378</v>
      </c>
      <c r="C88" s="39" t="s">
        <v>182</v>
      </c>
      <c r="D88" s="139" t="s">
        <v>42</v>
      </c>
      <c r="E88" s="37" t="s">
        <v>11</v>
      </c>
      <c r="F88" s="35" t="s">
        <v>11</v>
      </c>
      <c r="G88" s="36" t="s">
        <v>28</v>
      </c>
      <c r="H88" s="39">
        <v>1.431</v>
      </c>
      <c r="I88" s="49">
        <v>1.2</v>
      </c>
      <c r="J88" s="55">
        <v>47</v>
      </c>
      <c r="K88" s="55">
        <f t="shared" si="2"/>
        <v>80.7084</v>
      </c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18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s="12" customFormat="1" ht="15.75" customHeight="1" outlineLevel="2">
      <c r="A89" s="139">
        <v>5</v>
      </c>
      <c r="B89" s="141" t="s">
        <v>378</v>
      </c>
      <c r="C89" s="39" t="s">
        <v>183</v>
      </c>
      <c r="D89" s="139" t="s">
        <v>42</v>
      </c>
      <c r="E89" s="37" t="s">
        <v>11</v>
      </c>
      <c r="F89" s="35" t="s">
        <v>11</v>
      </c>
      <c r="G89" s="38" t="s">
        <v>28</v>
      </c>
      <c r="H89" s="39">
        <v>2.529</v>
      </c>
      <c r="I89" s="49">
        <v>1.2</v>
      </c>
      <c r="J89" s="55">
        <v>47</v>
      </c>
      <c r="K89" s="55">
        <f t="shared" si="2"/>
        <v>142.63559999999998</v>
      </c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18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s="12" customFormat="1" ht="15.75" customHeight="1" outlineLevel="2">
      <c r="A90" s="139">
        <v>6</v>
      </c>
      <c r="B90" s="141" t="s">
        <v>378</v>
      </c>
      <c r="C90" s="39" t="s">
        <v>184</v>
      </c>
      <c r="D90" s="139" t="s">
        <v>42</v>
      </c>
      <c r="E90" s="37" t="s">
        <v>11</v>
      </c>
      <c r="F90" s="35" t="s">
        <v>11</v>
      </c>
      <c r="G90" s="38" t="s">
        <v>28</v>
      </c>
      <c r="H90" s="39">
        <v>0.516</v>
      </c>
      <c r="I90" s="49">
        <v>1</v>
      </c>
      <c r="J90" s="55">
        <v>47</v>
      </c>
      <c r="K90" s="55">
        <f t="shared" si="2"/>
        <v>24.252000000000002</v>
      </c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18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s="12" customFormat="1" ht="15.75" customHeight="1" outlineLevel="2">
      <c r="A91" s="139">
        <v>7</v>
      </c>
      <c r="B91" s="141" t="s">
        <v>378</v>
      </c>
      <c r="C91" s="69" t="s">
        <v>503</v>
      </c>
      <c r="D91" s="27" t="s">
        <v>42</v>
      </c>
      <c r="E91" s="41" t="s">
        <v>16</v>
      </c>
      <c r="F91" s="45" t="s">
        <v>16</v>
      </c>
      <c r="G91" s="38" t="s">
        <v>28</v>
      </c>
      <c r="H91" s="27">
        <v>6.316</v>
      </c>
      <c r="I91" s="45">
        <v>1.2</v>
      </c>
      <c r="J91" s="55">
        <v>47</v>
      </c>
      <c r="K91" s="55">
        <f t="shared" si="2"/>
        <v>356.2224</v>
      </c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18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s="12" customFormat="1" ht="15.75" customHeight="1" outlineLevel="2">
      <c r="A92" s="139">
        <v>8</v>
      </c>
      <c r="B92" s="141" t="s">
        <v>378</v>
      </c>
      <c r="C92" s="39" t="s">
        <v>185</v>
      </c>
      <c r="D92" s="139" t="s">
        <v>10</v>
      </c>
      <c r="E92" s="37" t="s">
        <v>11</v>
      </c>
      <c r="F92" s="35" t="s">
        <v>11</v>
      </c>
      <c r="G92" s="38" t="s">
        <v>28</v>
      </c>
      <c r="H92" s="39">
        <v>0.989</v>
      </c>
      <c r="I92" s="49">
        <v>1</v>
      </c>
      <c r="J92" s="55">
        <v>47</v>
      </c>
      <c r="K92" s="55">
        <f t="shared" si="2"/>
        <v>46.483</v>
      </c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18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s="12" customFormat="1" ht="15.75" customHeight="1" outlineLevel="2">
      <c r="A93" s="139">
        <v>9</v>
      </c>
      <c r="B93" s="141" t="s">
        <v>378</v>
      </c>
      <c r="C93" s="39" t="s">
        <v>186</v>
      </c>
      <c r="D93" s="139" t="s">
        <v>10</v>
      </c>
      <c r="E93" s="37" t="s">
        <v>11</v>
      </c>
      <c r="F93" s="35" t="s">
        <v>11</v>
      </c>
      <c r="G93" s="38" t="s">
        <v>28</v>
      </c>
      <c r="H93" s="39">
        <v>0.793</v>
      </c>
      <c r="I93" s="49">
        <v>1</v>
      </c>
      <c r="J93" s="55">
        <v>47</v>
      </c>
      <c r="K93" s="55">
        <f t="shared" si="2"/>
        <v>37.271</v>
      </c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18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s="12" customFormat="1" ht="15.75" customHeight="1" outlineLevel="2">
      <c r="A94" s="139">
        <v>10</v>
      </c>
      <c r="B94" s="141" t="s">
        <v>378</v>
      </c>
      <c r="C94" s="39" t="s">
        <v>187</v>
      </c>
      <c r="D94" s="139" t="s">
        <v>10</v>
      </c>
      <c r="E94" s="37" t="s">
        <v>11</v>
      </c>
      <c r="F94" s="35" t="s">
        <v>11</v>
      </c>
      <c r="G94" s="38" t="s">
        <v>28</v>
      </c>
      <c r="H94" s="78">
        <v>1.62</v>
      </c>
      <c r="I94" s="49">
        <v>1.2</v>
      </c>
      <c r="J94" s="55">
        <v>47</v>
      </c>
      <c r="K94" s="55">
        <f t="shared" si="2"/>
        <v>91.368</v>
      </c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18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s="12" customFormat="1" ht="15.75" customHeight="1" outlineLevel="2">
      <c r="A95" s="139">
        <v>11</v>
      </c>
      <c r="B95" s="141" t="s">
        <v>378</v>
      </c>
      <c r="C95" s="39" t="s">
        <v>188</v>
      </c>
      <c r="D95" s="139" t="s">
        <v>10</v>
      </c>
      <c r="E95" s="37" t="s">
        <v>11</v>
      </c>
      <c r="F95" s="35" t="s">
        <v>11</v>
      </c>
      <c r="G95" s="38" t="s">
        <v>28</v>
      </c>
      <c r="H95" s="39">
        <v>0.939</v>
      </c>
      <c r="I95" s="49">
        <v>1</v>
      </c>
      <c r="J95" s="55">
        <v>47</v>
      </c>
      <c r="K95" s="55">
        <f t="shared" si="2"/>
        <v>44.132999999999996</v>
      </c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18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s="12" customFormat="1" ht="15.75" customHeight="1" outlineLevel="2">
      <c r="A96" s="139">
        <v>12</v>
      </c>
      <c r="B96" s="141" t="s">
        <v>378</v>
      </c>
      <c r="C96" s="39" t="s">
        <v>189</v>
      </c>
      <c r="D96" s="139" t="s">
        <v>10</v>
      </c>
      <c r="E96" s="37" t="s">
        <v>11</v>
      </c>
      <c r="F96" s="35" t="s">
        <v>11</v>
      </c>
      <c r="G96" s="38" t="s">
        <v>28</v>
      </c>
      <c r="H96" s="39">
        <v>1.177</v>
      </c>
      <c r="I96" s="49">
        <v>1.2</v>
      </c>
      <c r="J96" s="55">
        <v>47</v>
      </c>
      <c r="K96" s="55">
        <f t="shared" si="2"/>
        <v>66.3828</v>
      </c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18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s="12" customFormat="1" ht="15.75" customHeight="1" outlineLevel="2">
      <c r="A97" s="139">
        <v>13</v>
      </c>
      <c r="B97" s="141" t="s">
        <v>378</v>
      </c>
      <c r="C97" s="39" t="s">
        <v>190</v>
      </c>
      <c r="D97" s="139" t="s">
        <v>10</v>
      </c>
      <c r="E97" s="37" t="s">
        <v>11</v>
      </c>
      <c r="F97" s="35" t="s">
        <v>11</v>
      </c>
      <c r="G97" s="38" t="s">
        <v>28</v>
      </c>
      <c r="H97" s="39">
        <v>0.732</v>
      </c>
      <c r="I97" s="49">
        <v>1</v>
      </c>
      <c r="J97" s="55">
        <v>47</v>
      </c>
      <c r="K97" s="55">
        <f t="shared" si="2"/>
        <v>34.403999999999996</v>
      </c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18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s="12" customFormat="1" ht="15.75" customHeight="1" outlineLevel="2">
      <c r="A98" s="139">
        <v>14</v>
      </c>
      <c r="B98" s="141" t="s">
        <v>378</v>
      </c>
      <c r="C98" s="39" t="s">
        <v>191</v>
      </c>
      <c r="D98" s="139" t="s">
        <v>10</v>
      </c>
      <c r="E98" s="37" t="s">
        <v>11</v>
      </c>
      <c r="F98" s="35" t="s">
        <v>11</v>
      </c>
      <c r="G98" s="38" t="s">
        <v>28</v>
      </c>
      <c r="H98" s="39">
        <v>0.541</v>
      </c>
      <c r="I98" s="49">
        <v>1</v>
      </c>
      <c r="J98" s="55">
        <v>47</v>
      </c>
      <c r="K98" s="55">
        <f t="shared" si="2"/>
        <v>25.427000000000003</v>
      </c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18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s="12" customFormat="1" ht="15.75" customHeight="1" outlineLevel="2">
      <c r="A99" s="139">
        <v>15</v>
      </c>
      <c r="B99" s="141" t="s">
        <v>378</v>
      </c>
      <c r="C99" s="39" t="s">
        <v>192</v>
      </c>
      <c r="D99" s="139" t="s">
        <v>10</v>
      </c>
      <c r="E99" s="37" t="s">
        <v>11</v>
      </c>
      <c r="F99" s="35" t="s">
        <v>11</v>
      </c>
      <c r="G99" s="38" t="s">
        <v>28</v>
      </c>
      <c r="H99" s="39">
        <v>0.861</v>
      </c>
      <c r="I99" s="49">
        <v>1</v>
      </c>
      <c r="J99" s="55">
        <v>47</v>
      </c>
      <c r="K99" s="55">
        <f t="shared" si="2"/>
        <v>40.467</v>
      </c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18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s="12" customFormat="1" ht="15.75" customHeight="1" outlineLevel="2">
      <c r="A100" s="139">
        <v>16</v>
      </c>
      <c r="B100" s="141" t="s">
        <v>378</v>
      </c>
      <c r="C100" s="39" t="s">
        <v>193</v>
      </c>
      <c r="D100" s="139" t="s">
        <v>10</v>
      </c>
      <c r="E100" s="37" t="s">
        <v>11</v>
      </c>
      <c r="F100" s="35" t="s">
        <v>11</v>
      </c>
      <c r="G100" s="38" t="s">
        <v>28</v>
      </c>
      <c r="H100" s="78">
        <v>0.65</v>
      </c>
      <c r="I100" s="49">
        <v>1</v>
      </c>
      <c r="J100" s="55">
        <v>47</v>
      </c>
      <c r="K100" s="55">
        <f t="shared" si="2"/>
        <v>30.55</v>
      </c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18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s="12" customFormat="1" ht="15.75" customHeight="1" outlineLevel="2">
      <c r="A101" s="139">
        <v>17</v>
      </c>
      <c r="B101" s="141" t="s">
        <v>378</v>
      </c>
      <c r="C101" s="39" t="s">
        <v>194</v>
      </c>
      <c r="D101" s="139" t="s">
        <v>10</v>
      </c>
      <c r="E101" s="37" t="s">
        <v>11</v>
      </c>
      <c r="F101" s="35" t="s">
        <v>11</v>
      </c>
      <c r="G101" s="38" t="s">
        <v>28</v>
      </c>
      <c r="H101" s="39">
        <v>1.346</v>
      </c>
      <c r="I101" s="49">
        <v>1.2</v>
      </c>
      <c r="J101" s="55">
        <v>47</v>
      </c>
      <c r="K101" s="55">
        <f t="shared" si="2"/>
        <v>75.9144</v>
      </c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18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s="12" customFormat="1" ht="15.75" customHeight="1" outlineLevel="2">
      <c r="A102" s="139">
        <v>18</v>
      </c>
      <c r="B102" s="141" t="s">
        <v>378</v>
      </c>
      <c r="C102" s="39" t="s">
        <v>195</v>
      </c>
      <c r="D102" s="139" t="s">
        <v>10</v>
      </c>
      <c r="E102" s="37" t="s">
        <v>11</v>
      </c>
      <c r="F102" s="35" t="s">
        <v>11</v>
      </c>
      <c r="G102" s="38" t="s">
        <v>28</v>
      </c>
      <c r="H102" s="39">
        <v>0.711</v>
      </c>
      <c r="I102" s="49">
        <v>1</v>
      </c>
      <c r="J102" s="55">
        <v>47</v>
      </c>
      <c r="K102" s="55">
        <f t="shared" si="2"/>
        <v>33.417</v>
      </c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18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s="12" customFormat="1" ht="15.75" customHeight="1" outlineLevel="2">
      <c r="A103" s="139">
        <v>19</v>
      </c>
      <c r="B103" s="141" t="s">
        <v>378</v>
      </c>
      <c r="C103" s="39" t="s">
        <v>196</v>
      </c>
      <c r="D103" s="139" t="s">
        <v>10</v>
      </c>
      <c r="E103" s="37" t="s">
        <v>11</v>
      </c>
      <c r="F103" s="35" t="s">
        <v>11</v>
      </c>
      <c r="G103" s="38" t="s">
        <v>28</v>
      </c>
      <c r="H103" s="39">
        <v>0.604</v>
      </c>
      <c r="I103" s="49">
        <v>1</v>
      </c>
      <c r="J103" s="55">
        <v>47</v>
      </c>
      <c r="K103" s="55">
        <f t="shared" si="2"/>
        <v>28.387999999999998</v>
      </c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18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s="12" customFormat="1" ht="15.75" customHeight="1" outlineLevel="2">
      <c r="A104" s="139">
        <v>20</v>
      </c>
      <c r="B104" s="141" t="s">
        <v>378</v>
      </c>
      <c r="C104" s="39" t="s">
        <v>197</v>
      </c>
      <c r="D104" s="139" t="s">
        <v>10</v>
      </c>
      <c r="E104" s="37" t="s">
        <v>11</v>
      </c>
      <c r="F104" s="35" t="s">
        <v>11</v>
      </c>
      <c r="G104" s="38" t="s">
        <v>28</v>
      </c>
      <c r="H104" s="39">
        <v>0.555</v>
      </c>
      <c r="I104" s="49">
        <v>1</v>
      </c>
      <c r="J104" s="55">
        <v>47</v>
      </c>
      <c r="K104" s="55">
        <f t="shared" si="2"/>
        <v>26.085</v>
      </c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18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s="12" customFormat="1" ht="15.75" customHeight="1" outlineLevel="2">
      <c r="A105" s="139">
        <v>21</v>
      </c>
      <c r="B105" s="141" t="s">
        <v>378</v>
      </c>
      <c r="C105" s="39" t="s">
        <v>198</v>
      </c>
      <c r="D105" s="139" t="s">
        <v>10</v>
      </c>
      <c r="E105" s="37" t="s">
        <v>11</v>
      </c>
      <c r="F105" s="35" t="s">
        <v>11</v>
      </c>
      <c r="G105" s="38" t="s">
        <v>28</v>
      </c>
      <c r="H105" s="39">
        <v>0.795</v>
      </c>
      <c r="I105" s="49">
        <v>1</v>
      </c>
      <c r="J105" s="55">
        <v>47</v>
      </c>
      <c r="K105" s="55">
        <f t="shared" si="2"/>
        <v>37.365</v>
      </c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18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s="12" customFormat="1" ht="15.75" customHeight="1" outlineLevel="2">
      <c r="A106" s="139">
        <v>22</v>
      </c>
      <c r="B106" s="141" t="s">
        <v>378</v>
      </c>
      <c r="C106" s="39" t="s">
        <v>199</v>
      </c>
      <c r="D106" s="139" t="s">
        <v>10</v>
      </c>
      <c r="E106" s="37" t="s">
        <v>11</v>
      </c>
      <c r="F106" s="35" t="s">
        <v>11</v>
      </c>
      <c r="G106" s="38" t="s">
        <v>28</v>
      </c>
      <c r="H106" s="39">
        <v>1.876</v>
      </c>
      <c r="I106" s="49">
        <v>1.2</v>
      </c>
      <c r="J106" s="55">
        <v>47</v>
      </c>
      <c r="K106" s="55">
        <f t="shared" si="2"/>
        <v>105.8064</v>
      </c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18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s="12" customFormat="1" ht="15.75" customHeight="1" outlineLevel="2">
      <c r="A107" s="139">
        <v>23</v>
      </c>
      <c r="B107" s="141" t="s">
        <v>378</v>
      </c>
      <c r="C107" s="39" t="s">
        <v>200</v>
      </c>
      <c r="D107" s="139" t="s">
        <v>10</v>
      </c>
      <c r="E107" s="37" t="s">
        <v>11</v>
      </c>
      <c r="F107" s="35" t="s">
        <v>11</v>
      </c>
      <c r="G107" s="38" t="s">
        <v>28</v>
      </c>
      <c r="H107" s="39">
        <v>1.004</v>
      </c>
      <c r="I107" s="49">
        <v>1.2</v>
      </c>
      <c r="J107" s="55">
        <v>47</v>
      </c>
      <c r="K107" s="55">
        <f t="shared" si="2"/>
        <v>56.62559999999999</v>
      </c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18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s="12" customFormat="1" ht="15.75" customHeight="1" outlineLevel="2">
      <c r="A108" s="139">
        <v>24</v>
      </c>
      <c r="B108" s="141" t="s">
        <v>378</v>
      </c>
      <c r="C108" s="39" t="s">
        <v>201</v>
      </c>
      <c r="D108" s="139" t="s">
        <v>10</v>
      </c>
      <c r="E108" s="37" t="s">
        <v>11</v>
      </c>
      <c r="F108" s="35" t="s">
        <v>11</v>
      </c>
      <c r="G108" s="38" t="s">
        <v>28</v>
      </c>
      <c r="H108" s="81">
        <v>1.2</v>
      </c>
      <c r="I108" s="49">
        <v>1.2</v>
      </c>
      <c r="J108" s="55">
        <v>47</v>
      </c>
      <c r="K108" s="55">
        <f t="shared" si="2"/>
        <v>67.67999999999999</v>
      </c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18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s="12" customFormat="1" ht="15.75" customHeight="1" outlineLevel="2">
      <c r="A109" s="139">
        <v>25</v>
      </c>
      <c r="B109" s="141" t="s">
        <v>378</v>
      </c>
      <c r="C109" s="39" t="s">
        <v>202</v>
      </c>
      <c r="D109" s="139" t="s">
        <v>10</v>
      </c>
      <c r="E109" s="37" t="s">
        <v>11</v>
      </c>
      <c r="F109" s="35" t="s">
        <v>11</v>
      </c>
      <c r="G109" s="38" t="s">
        <v>28</v>
      </c>
      <c r="H109" s="39">
        <v>1.385</v>
      </c>
      <c r="I109" s="49">
        <v>1.2</v>
      </c>
      <c r="J109" s="55">
        <v>47</v>
      </c>
      <c r="K109" s="55">
        <f t="shared" si="2"/>
        <v>78.11399999999999</v>
      </c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18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s="12" customFormat="1" ht="15.75" customHeight="1" outlineLevel="2">
      <c r="A110" s="139">
        <v>26</v>
      </c>
      <c r="B110" s="141" t="s">
        <v>378</v>
      </c>
      <c r="C110" s="39" t="s">
        <v>203</v>
      </c>
      <c r="D110" s="139" t="s">
        <v>10</v>
      </c>
      <c r="E110" s="37" t="s">
        <v>11</v>
      </c>
      <c r="F110" s="35" t="s">
        <v>11</v>
      </c>
      <c r="G110" s="38" t="s">
        <v>28</v>
      </c>
      <c r="H110" s="39">
        <v>0.826</v>
      </c>
      <c r="I110" s="49">
        <v>1</v>
      </c>
      <c r="J110" s="55">
        <v>47</v>
      </c>
      <c r="K110" s="55">
        <f t="shared" si="2"/>
        <v>38.821999999999996</v>
      </c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18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s="12" customFormat="1" ht="15.75" customHeight="1" outlineLevel="2">
      <c r="A111" s="139">
        <v>27</v>
      </c>
      <c r="B111" s="141" t="s">
        <v>378</v>
      </c>
      <c r="C111" s="39" t="s">
        <v>204</v>
      </c>
      <c r="D111" s="139" t="s">
        <v>10</v>
      </c>
      <c r="E111" s="37" t="s">
        <v>11</v>
      </c>
      <c r="F111" s="35" t="s">
        <v>11</v>
      </c>
      <c r="G111" s="38" t="s">
        <v>28</v>
      </c>
      <c r="H111" s="39">
        <v>0.505</v>
      </c>
      <c r="I111" s="49">
        <v>1</v>
      </c>
      <c r="J111" s="55">
        <v>47</v>
      </c>
      <c r="K111" s="55">
        <f t="shared" si="2"/>
        <v>23.735</v>
      </c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18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s="12" customFormat="1" ht="15.75" customHeight="1" outlineLevel="2">
      <c r="A112" s="139">
        <v>28</v>
      </c>
      <c r="B112" s="141" t="s">
        <v>378</v>
      </c>
      <c r="C112" s="39" t="s">
        <v>205</v>
      </c>
      <c r="D112" s="139" t="s">
        <v>10</v>
      </c>
      <c r="E112" s="37" t="s">
        <v>11</v>
      </c>
      <c r="F112" s="35" t="s">
        <v>11</v>
      </c>
      <c r="G112" s="38" t="s">
        <v>28</v>
      </c>
      <c r="H112" s="78">
        <v>0.61</v>
      </c>
      <c r="I112" s="49">
        <v>1</v>
      </c>
      <c r="J112" s="55">
        <v>47</v>
      </c>
      <c r="K112" s="55">
        <f t="shared" si="2"/>
        <v>28.669999999999998</v>
      </c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18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s="12" customFormat="1" ht="15.75" customHeight="1" outlineLevel="2">
      <c r="A113" s="139">
        <v>29</v>
      </c>
      <c r="B113" s="141" t="s">
        <v>378</v>
      </c>
      <c r="C113" s="39" t="s">
        <v>206</v>
      </c>
      <c r="D113" s="139" t="s">
        <v>10</v>
      </c>
      <c r="E113" s="37" t="s">
        <v>11</v>
      </c>
      <c r="F113" s="35" t="s">
        <v>11</v>
      </c>
      <c r="G113" s="38" t="s">
        <v>28</v>
      </c>
      <c r="H113" s="39">
        <v>0.717</v>
      </c>
      <c r="I113" s="49">
        <v>1</v>
      </c>
      <c r="J113" s="55">
        <v>47</v>
      </c>
      <c r="K113" s="55">
        <f t="shared" si="2"/>
        <v>33.699</v>
      </c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18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s="12" customFormat="1" ht="15.75" customHeight="1" outlineLevel="2">
      <c r="A114" s="139">
        <v>30</v>
      </c>
      <c r="B114" s="141" t="s">
        <v>378</v>
      </c>
      <c r="C114" s="39" t="s">
        <v>207</v>
      </c>
      <c r="D114" s="139" t="s">
        <v>10</v>
      </c>
      <c r="E114" s="37" t="s">
        <v>11</v>
      </c>
      <c r="F114" s="35" t="s">
        <v>11</v>
      </c>
      <c r="G114" s="38" t="s">
        <v>28</v>
      </c>
      <c r="H114" s="39">
        <v>0.671</v>
      </c>
      <c r="I114" s="49">
        <v>1</v>
      </c>
      <c r="J114" s="55">
        <v>47</v>
      </c>
      <c r="K114" s="55">
        <f t="shared" si="2"/>
        <v>31.537000000000003</v>
      </c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18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s="12" customFormat="1" ht="15.75" customHeight="1" outlineLevel="2">
      <c r="A115" s="139">
        <v>31</v>
      </c>
      <c r="B115" s="141" t="s">
        <v>378</v>
      </c>
      <c r="C115" s="39" t="s">
        <v>208</v>
      </c>
      <c r="D115" s="139" t="s">
        <v>10</v>
      </c>
      <c r="E115" s="37" t="s">
        <v>11</v>
      </c>
      <c r="F115" s="35" t="s">
        <v>11</v>
      </c>
      <c r="G115" s="38" t="s">
        <v>28</v>
      </c>
      <c r="H115" s="39">
        <v>1.182</v>
      </c>
      <c r="I115" s="49">
        <v>1.2</v>
      </c>
      <c r="J115" s="55">
        <v>47</v>
      </c>
      <c r="K115" s="55">
        <f t="shared" si="2"/>
        <v>66.6648</v>
      </c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18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s="12" customFormat="1" ht="15.75" customHeight="1" outlineLevel="2">
      <c r="A116" s="139">
        <v>32</v>
      </c>
      <c r="B116" s="141" t="s">
        <v>378</v>
      </c>
      <c r="C116" s="39" t="s">
        <v>209</v>
      </c>
      <c r="D116" s="139" t="s">
        <v>10</v>
      </c>
      <c r="E116" s="37" t="s">
        <v>11</v>
      </c>
      <c r="F116" s="35" t="s">
        <v>11</v>
      </c>
      <c r="G116" s="38" t="s">
        <v>28</v>
      </c>
      <c r="H116" s="39">
        <v>0.729</v>
      </c>
      <c r="I116" s="49">
        <v>1</v>
      </c>
      <c r="J116" s="55">
        <v>47</v>
      </c>
      <c r="K116" s="55">
        <f t="shared" si="2"/>
        <v>34.263</v>
      </c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18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s="12" customFormat="1" ht="15.75" customHeight="1" outlineLevel="2">
      <c r="A117" s="139">
        <v>33</v>
      </c>
      <c r="B117" s="141" t="s">
        <v>378</v>
      </c>
      <c r="C117" s="39" t="s">
        <v>210</v>
      </c>
      <c r="D117" s="139" t="s">
        <v>10</v>
      </c>
      <c r="E117" s="37" t="s">
        <v>11</v>
      </c>
      <c r="F117" s="35" t="s">
        <v>11</v>
      </c>
      <c r="G117" s="38" t="s">
        <v>28</v>
      </c>
      <c r="H117" s="39">
        <v>0.527</v>
      </c>
      <c r="I117" s="49">
        <v>1</v>
      </c>
      <c r="J117" s="55">
        <v>47</v>
      </c>
      <c r="K117" s="55">
        <f t="shared" si="2"/>
        <v>24.769000000000002</v>
      </c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18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s="12" customFormat="1" ht="15.75" customHeight="1" outlineLevel="2">
      <c r="A118" s="139">
        <v>34</v>
      </c>
      <c r="B118" s="141" t="s">
        <v>378</v>
      </c>
      <c r="C118" s="39" t="s">
        <v>211</v>
      </c>
      <c r="D118" s="139" t="s">
        <v>10</v>
      </c>
      <c r="E118" s="37" t="s">
        <v>11</v>
      </c>
      <c r="F118" s="35" t="s">
        <v>11</v>
      </c>
      <c r="G118" s="38" t="s">
        <v>28</v>
      </c>
      <c r="H118" s="39">
        <v>1.795</v>
      </c>
      <c r="I118" s="49">
        <v>1.2</v>
      </c>
      <c r="J118" s="55">
        <v>47</v>
      </c>
      <c r="K118" s="55">
        <f t="shared" si="2"/>
        <v>101.238</v>
      </c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18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s="12" customFormat="1" ht="15.75" customHeight="1" outlineLevel="2">
      <c r="A119" s="139">
        <v>35</v>
      </c>
      <c r="B119" s="141" t="s">
        <v>378</v>
      </c>
      <c r="C119" s="39" t="s">
        <v>212</v>
      </c>
      <c r="D119" s="139" t="s">
        <v>10</v>
      </c>
      <c r="E119" s="37" t="s">
        <v>11</v>
      </c>
      <c r="F119" s="35" t="s">
        <v>11</v>
      </c>
      <c r="G119" s="38" t="s">
        <v>28</v>
      </c>
      <c r="H119" s="39">
        <v>1.019</v>
      </c>
      <c r="I119" s="49">
        <v>1.2</v>
      </c>
      <c r="J119" s="55">
        <v>47</v>
      </c>
      <c r="K119" s="55">
        <f t="shared" si="2"/>
        <v>57.471599999999995</v>
      </c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18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s="12" customFormat="1" ht="15.75" customHeight="1" outlineLevel="2">
      <c r="A120" s="139">
        <v>36</v>
      </c>
      <c r="B120" s="141" t="s">
        <v>378</v>
      </c>
      <c r="C120" s="39" t="s">
        <v>213</v>
      </c>
      <c r="D120" s="139" t="s">
        <v>10</v>
      </c>
      <c r="E120" s="37" t="s">
        <v>11</v>
      </c>
      <c r="F120" s="35" t="s">
        <v>11</v>
      </c>
      <c r="G120" s="38" t="s">
        <v>28</v>
      </c>
      <c r="H120" s="39">
        <v>1.107</v>
      </c>
      <c r="I120" s="49">
        <v>1.2</v>
      </c>
      <c r="J120" s="55">
        <v>47</v>
      </c>
      <c r="K120" s="55">
        <f t="shared" si="2"/>
        <v>62.4348</v>
      </c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18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s="12" customFormat="1" ht="15.75" customHeight="1" outlineLevel="2">
      <c r="A121" s="139">
        <v>37</v>
      </c>
      <c r="B121" s="141" t="s">
        <v>378</v>
      </c>
      <c r="C121" s="39" t="s">
        <v>214</v>
      </c>
      <c r="D121" s="139" t="s">
        <v>10</v>
      </c>
      <c r="E121" s="37" t="s">
        <v>11</v>
      </c>
      <c r="F121" s="35" t="s">
        <v>11</v>
      </c>
      <c r="G121" s="38" t="s">
        <v>28</v>
      </c>
      <c r="H121" s="39">
        <v>0.748</v>
      </c>
      <c r="I121" s="49">
        <v>1</v>
      </c>
      <c r="J121" s="55">
        <v>47</v>
      </c>
      <c r="K121" s="55">
        <f t="shared" si="2"/>
        <v>35.156</v>
      </c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18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s="12" customFormat="1" ht="15.75" customHeight="1" outlineLevel="2">
      <c r="A122" s="139">
        <v>38</v>
      </c>
      <c r="B122" s="141" t="s">
        <v>378</v>
      </c>
      <c r="C122" s="39" t="s">
        <v>215</v>
      </c>
      <c r="D122" s="139" t="s">
        <v>10</v>
      </c>
      <c r="E122" s="37" t="s">
        <v>11</v>
      </c>
      <c r="F122" s="35" t="s">
        <v>11</v>
      </c>
      <c r="G122" s="38" t="s">
        <v>28</v>
      </c>
      <c r="H122" s="39">
        <v>0.979</v>
      </c>
      <c r="I122" s="49">
        <v>1</v>
      </c>
      <c r="J122" s="55">
        <v>47</v>
      </c>
      <c r="K122" s="55">
        <f t="shared" si="2"/>
        <v>46.013</v>
      </c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18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s="12" customFormat="1" ht="15.75" customHeight="1" outlineLevel="2">
      <c r="A123" s="139">
        <v>39</v>
      </c>
      <c r="B123" s="141" t="s">
        <v>378</v>
      </c>
      <c r="C123" s="39" t="s">
        <v>216</v>
      </c>
      <c r="D123" s="139" t="s">
        <v>10</v>
      </c>
      <c r="E123" s="37" t="s">
        <v>11</v>
      </c>
      <c r="F123" s="35" t="s">
        <v>11</v>
      </c>
      <c r="G123" s="38" t="s">
        <v>28</v>
      </c>
      <c r="H123" s="39">
        <v>0.701</v>
      </c>
      <c r="I123" s="49">
        <v>1</v>
      </c>
      <c r="J123" s="55">
        <v>47</v>
      </c>
      <c r="K123" s="55">
        <f t="shared" si="2"/>
        <v>32.946999999999996</v>
      </c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18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s="12" customFormat="1" ht="15.75" customHeight="1" outlineLevel="2">
      <c r="A124" s="139">
        <v>40</v>
      </c>
      <c r="B124" s="141" t="s">
        <v>378</v>
      </c>
      <c r="C124" s="39" t="s">
        <v>217</v>
      </c>
      <c r="D124" s="139" t="s">
        <v>10</v>
      </c>
      <c r="E124" s="37" t="s">
        <v>11</v>
      </c>
      <c r="F124" s="35" t="s">
        <v>11</v>
      </c>
      <c r="G124" s="38" t="s">
        <v>28</v>
      </c>
      <c r="H124" s="39">
        <v>0.622</v>
      </c>
      <c r="I124" s="49">
        <v>1</v>
      </c>
      <c r="J124" s="55">
        <v>47</v>
      </c>
      <c r="K124" s="55">
        <f t="shared" si="2"/>
        <v>29.233999999999998</v>
      </c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18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s="12" customFormat="1" ht="15.75" customHeight="1" outlineLevel="2">
      <c r="A125" s="139">
        <v>41</v>
      </c>
      <c r="B125" s="141" t="s">
        <v>378</v>
      </c>
      <c r="C125" s="39" t="s">
        <v>218</v>
      </c>
      <c r="D125" s="139" t="s">
        <v>10</v>
      </c>
      <c r="E125" s="37" t="s">
        <v>11</v>
      </c>
      <c r="F125" s="35" t="s">
        <v>11</v>
      </c>
      <c r="G125" s="38" t="s">
        <v>28</v>
      </c>
      <c r="H125" s="39">
        <v>0.839</v>
      </c>
      <c r="I125" s="49">
        <v>1</v>
      </c>
      <c r="J125" s="55">
        <v>47</v>
      </c>
      <c r="K125" s="55">
        <f t="shared" si="2"/>
        <v>39.433</v>
      </c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18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s="12" customFormat="1" ht="15.75" customHeight="1" outlineLevel="2">
      <c r="A126" s="139">
        <v>42</v>
      </c>
      <c r="B126" s="141" t="s">
        <v>378</v>
      </c>
      <c r="C126" s="39" t="s">
        <v>219</v>
      </c>
      <c r="D126" s="139" t="s">
        <v>10</v>
      </c>
      <c r="E126" s="37" t="s">
        <v>11</v>
      </c>
      <c r="F126" s="35" t="s">
        <v>11</v>
      </c>
      <c r="G126" s="38" t="s">
        <v>28</v>
      </c>
      <c r="H126" s="39">
        <v>0.898</v>
      </c>
      <c r="I126" s="49">
        <v>1</v>
      </c>
      <c r="J126" s="55">
        <v>47</v>
      </c>
      <c r="K126" s="55">
        <f aca="true" t="shared" si="3" ref="K126:K189">(H126*I126*J126)</f>
        <v>42.206</v>
      </c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18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s="12" customFormat="1" ht="15.75" customHeight="1" outlineLevel="2">
      <c r="A127" s="139">
        <v>43</v>
      </c>
      <c r="B127" s="141" t="s">
        <v>378</v>
      </c>
      <c r="C127" s="39" t="s">
        <v>220</v>
      </c>
      <c r="D127" s="139" t="s">
        <v>10</v>
      </c>
      <c r="E127" s="37" t="s">
        <v>20</v>
      </c>
      <c r="F127" s="121" t="s">
        <v>20</v>
      </c>
      <c r="G127" s="38" t="s">
        <v>28</v>
      </c>
      <c r="H127" s="39">
        <v>1.577</v>
      </c>
      <c r="I127" s="49">
        <v>1.2</v>
      </c>
      <c r="J127" s="55">
        <v>47</v>
      </c>
      <c r="K127" s="55">
        <f t="shared" si="3"/>
        <v>88.94279999999999</v>
      </c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18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s="12" customFormat="1" ht="15.75" customHeight="1" outlineLevel="2">
      <c r="A128" s="139">
        <v>44</v>
      </c>
      <c r="B128" s="141" t="s">
        <v>378</v>
      </c>
      <c r="C128" s="39" t="s">
        <v>221</v>
      </c>
      <c r="D128" s="139" t="s">
        <v>10</v>
      </c>
      <c r="E128" s="37" t="s">
        <v>11</v>
      </c>
      <c r="F128" s="35" t="s">
        <v>11</v>
      </c>
      <c r="G128" s="38" t="s">
        <v>28</v>
      </c>
      <c r="H128" s="39">
        <v>1.485</v>
      </c>
      <c r="I128" s="49">
        <v>1.2</v>
      </c>
      <c r="J128" s="55">
        <v>47</v>
      </c>
      <c r="K128" s="55">
        <f t="shared" si="3"/>
        <v>83.754</v>
      </c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18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s="12" customFormat="1" ht="15.75" customHeight="1" outlineLevel="2">
      <c r="A129" s="139">
        <v>45</v>
      </c>
      <c r="B129" s="141" t="s">
        <v>378</v>
      </c>
      <c r="C129" s="39" t="s">
        <v>222</v>
      </c>
      <c r="D129" s="139" t="s">
        <v>10</v>
      </c>
      <c r="E129" s="37" t="s">
        <v>11</v>
      </c>
      <c r="F129" s="35" t="s">
        <v>11</v>
      </c>
      <c r="G129" s="38" t="s">
        <v>28</v>
      </c>
      <c r="H129" s="39">
        <v>0.718</v>
      </c>
      <c r="I129" s="49">
        <v>1</v>
      </c>
      <c r="J129" s="55">
        <v>47</v>
      </c>
      <c r="K129" s="55">
        <f t="shared" si="3"/>
        <v>33.745999999999995</v>
      </c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18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s="12" customFormat="1" ht="15.75" customHeight="1" outlineLevel="2">
      <c r="A130" s="139">
        <v>46</v>
      </c>
      <c r="B130" s="141" t="s">
        <v>378</v>
      </c>
      <c r="C130" s="39" t="s">
        <v>223</v>
      </c>
      <c r="D130" s="139" t="s">
        <v>10</v>
      </c>
      <c r="E130" s="37" t="s">
        <v>11</v>
      </c>
      <c r="F130" s="35" t="s">
        <v>11</v>
      </c>
      <c r="G130" s="38" t="s">
        <v>28</v>
      </c>
      <c r="H130" s="39">
        <v>0.634</v>
      </c>
      <c r="I130" s="49">
        <v>1</v>
      </c>
      <c r="J130" s="55">
        <v>47</v>
      </c>
      <c r="K130" s="55">
        <f t="shared" si="3"/>
        <v>29.798000000000002</v>
      </c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18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s="12" customFormat="1" ht="15.75" customHeight="1" outlineLevel="2">
      <c r="A131" s="139">
        <v>47</v>
      </c>
      <c r="B131" s="141" t="s">
        <v>378</v>
      </c>
      <c r="C131" s="39" t="s">
        <v>224</v>
      </c>
      <c r="D131" s="139" t="s">
        <v>10</v>
      </c>
      <c r="E131" s="37" t="s">
        <v>11</v>
      </c>
      <c r="F131" s="35" t="s">
        <v>11</v>
      </c>
      <c r="G131" s="38" t="s">
        <v>28</v>
      </c>
      <c r="H131" s="39">
        <v>1.061</v>
      </c>
      <c r="I131" s="49">
        <v>1.2</v>
      </c>
      <c r="J131" s="55">
        <v>47</v>
      </c>
      <c r="K131" s="55">
        <f t="shared" si="3"/>
        <v>59.840399999999995</v>
      </c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18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s="12" customFormat="1" ht="15.75" customHeight="1" outlineLevel="2">
      <c r="A132" s="139">
        <v>48</v>
      </c>
      <c r="B132" s="141" t="s">
        <v>378</v>
      </c>
      <c r="C132" s="39" t="s">
        <v>225</v>
      </c>
      <c r="D132" s="139" t="s">
        <v>10</v>
      </c>
      <c r="E132" s="37" t="s">
        <v>11</v>
      </c>
      <c r="F132" s="35" t="s">
        <v>11</v>
      </c>
      <c r="G132" s="38" t="s">
        <v>28</v>
      </c>
      <c r="H132" s="39">
        <v>0.65</v>
      </c>
      <c r="I132" s="49">
        <v>1</v>
      </c>
      <c r="J132" s="55">
        <v>47</v>
      </c>
      <c r="K132" s="55">
        <f t="shared" si="3"/>
        <v>30.55</v>
      </c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18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s="12" customFormat="1" ht="15.75" customHeight="1" outlineLevel="2">
      <c r="A133" s="139">
        <v>49</v>
      </c>
      <c r="B133" s="141" t="s">
        <v>378</v>
      </c>
      <c r="C133" s="39" t="s">
        <v>226</v>
      </c>
      <c r="D133" s="139" t="s">
        <v>10</v>
      </c>
      <c r="E133" s="37" t="s">
        <v>11</v>
      </c>
      <c r="F133" s="35" t="s">
        <v>11</v>
      </c>
      <c r="G133" s="38" t="s">
        <v>28</v>
      </c>
      <c r="H133" s="39">
        <v>0.679</v>
      </c>
      <c r="I133" s="49">
        <v>1</v>
      </c>
      <c r="J133" s="55">
        <v>47</v>
      </c>
      <c r="K133" s="55">
        <f t="shared" si="3"/>
        <v>31.913000000000004</v>
      </c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18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s="12" customFormat="1" ht="15.75" customHeight="1" outlineLevel="2">
      <c r="A134" s="139">
        <v>50</v>
      </c>
      <c r="B134" s="141" t="s">
        <v>378</v>
      </c>
      <c r="C134" s="39" t="s">
        <v>227</v>
      </c>
      <c r="D134" s="139" t="s">
        <v>10</v>
      </c>
      <c r="E134" s="37" t="s">
        <v>11</v>
      </c>
      <c r="F134" s="35" t="s">
        <v>11</v>
      </c>
      <c r="G134" s="38" t="s">
        <v>28</v>
      </c>
      <c r="H134" s="39">
        <v>1.467</v>
      </c>
      <c r="I134" s="49">
        <v>1.2</v>
      </c>
      <c r="J134" s="55">
        <v>47</v>
      </c>
      <c r="K134" s="55">
        <f t="shared" si="3"/>
        <v>82.7388</v>
      </c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18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s="12" customFormat="1" ht="15.75" customHeight="1" outlineLevel="2">
      <c r="A135" s="139">
        <v>51</v>
      </c>
      <c r="B135" s="141" t="s">
        <v>378</v>
      </c>
      <c r="C135" s="39" t="s">
        <v>228</v>
      </c>
      <c r="D135" s="139" t="s">
        <v>10</v>
      </c>
      <c r="E135" s="37" t="s">
        <v>11</v>
      </c>
      <c r="F135" s="35" t="s">
        <v>11</v>
      </c>
      <c r="G135" s="38" t="s">
        <v>28</v>
      </c>
      <c r="H135" s="39">
        <v>0.591</v>
      </c>
      <c r="I135" s="49">
        <v>1</v>
      </c>
      <c r="J135" s="55">
        <v>47</v>
      </c>
      <c r="K135" s="55">
        <f t="shared" si="3"/>
        <v>27.776999999999997</v>
      </c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18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s="12" customFormat="1" ht="15.75" customHeight="1" outlineLevel="2">
      <c r="A136" s="139">
        <v>52</v>
      </c>
      <c r="B136" s="141" t="s">
        <v>378</v>
      </c>
      <c r="C136" s="39" t="s">
        <v>229</v>
      </c>
      <c r="D136" s="139" t="s">
        <v>10</v>
      </c>
      <c r="E136" s="37" t="s">
        <v>11</v>
      </c>
      <c r="F136" s="35" t="s">
        <v>11</v>
      </c>
      <c r="G136" s="38" t="s">
        <v>28</v>
      </c>
      <c r="H136" s="39">
        <v>1.015</v>
      </c>
      <c r="I136" s="49">
        <v>1.2</v>
      </c>
      <c r="J136" s="55">
        <v>47</v>
      </c>
      <c r="K136" s="55">
        <f t="shared" si="3"/>
        <v>57.24599999999999</v>
      </c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18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s="12" customFormat="1" ht="15.75" customHeight="1" outlineLevel="2">
      <c r="A137" s="139">
        <v>53</v>
      </c>
      <c r="B137" s="141" t="s">
        <v>378</v>
      </c>
      <c r="C137" s="39" t="s">
        <v>230</v>
      </c>
      <c r="D137" s="139" t="s">
        <v>10</v>
      </c>
      <c r="E137" s="37" t="s">
        <v>11</v>
      </c>
      <c r="F137" s="35" t="s">
        <v>11</v>
      </c>
      <c r="G137" s="38" t="s">
        <v>28</v>
      </c>
      <c r="H137" s="39">
        <v>0.505</v>
      </c>
      <c r="I137" s="49">
        <v>1</v>
      </c>
      <c r="J137" s="55">
        <v>47</v>
      </c>
      <c r="K137" s="55">
        <f t="shared" si="3"/>
        <v>23.735</v>
      </c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18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s="12" customFormat="1" ht="15.75" customHeight="1" outlineLevel="2">
      <c r="A138" s="139">
        <v>54</v>
      </c>
      <c r="B138" s="141" t="s">
        <v>378</v>
      </c>
      <c r="C138" s="39" t="s">
        <v>231</v>
      </c>
      <c r="D138" s="139" t="s">
        <v>10</v>
      </c>
      <c r="E138" s="37" t="s">
        <v>11</v>
      </c>
      <c r="F138" s="35" t="s">
        <v>11</v>
      </c>
      <c r="G138" s="38" t="s">
        <v>28</v>
      </c>
      <c r="H138" s="39">
        <v>0.601</v>
      </c>
      <c r="I138" s="49">
        <v>1</v>
      </c>
      <c r="J138" s="55">
        <v>47</v>
      </c>
      <c r="K138" s="55">
        <f t="shared" si="3"/>
        <v>28.247</v>
      </c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18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s="12" customFormat="1" ht="15.75" customHeight="1" outlineLevel="2">
      <c r="A139" s="139">
        <v>55</v>
      </c>
      <c r="B139" s="141" t="s">
        <v>378</v>
      </c>
      <c r="C139" s="39" t="s">
        <v>232</v>
      </c>
      <c r="D139" s="139" t="s">
        <v>10</v>
      </c>
      <c r="E139" s="37" t="s">
        <v>11</v>
      </c>
      <c r="F139" s="35" t="s">
        <v>11</v>
      </c>
      <c r="G139" s="38" t="s">
        <v>28</v>
      </c>
      <c r="H139" s="78">
        <v>0.6</v>
      </c>
      <c r="I139" s="49">
        <v>1</v>
      </c>
      <c r="J139" s="55">
        <v>47</v>
      </c>
      <c r="K139" s="55">
        <f t="shared" si="3"/>
        <v>28.2</v>
      </c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18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s="12" customFormat="1" ht="15.75" customHeight="1" outlineLevel="2">
      <c r="A140" s="139">
        <v>56</v>
      </c>
      <c r="B140" s="141" t="s">
        <v>378</v>
      </c>
      <c r="C140" s="39" t="s">
        <v>233</v>
      </c>
      <c r="D140" s="139" t="s">
        <v>10</v>
      </c>
      <c r="E140" s="37" t="s">
        <v>11</v>
      </c>
      <c r="F140" s="35" t="s">
        <v>11</v>
      </c>
      <c r="G140" s="36" t="s">
        <v>28</v>
      </c>
      <c r="H140" s="39">
        <v>1.034</v>
      </c>
      <c r="I140" s="49">
        <v>1.2</v>
      </c>
      <c r="J140" s="55">
        <v>47</v>
      </c>
      <c r="K140" s="55">
        <f t="shared" si="3"/>
        <v>58.3176</v>
      </c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18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s="12" customFormat="1" ht="15.75" customHeight="1" outlineLevel="2">
      <c r="A141" s="139">
        <v>57</v>
      </c>
      <c r="B141" s="141" t="s">
        <v>378</v>
      </c>
      <c r="C141" s="39" t="s">
        <v>234</v>
      </c>
      <c r="D141" s="139" t="s">
        <v>10</v>
      </c>
      <c r="E141" s="37" t="s">
        <v>11</v>
      </c>
      <c r="F141" s="35" t="s">
        <v>11</v>
      </c>
      <c r="G141" s="36" t="s">
        <v>28</v>
      </c>
      <c r="H141" s="39">
        <v>0.696</v>
      </c>
      <c r="I141" s="49">
        <v>1</v>
      </c>
      <c r="J141" s="55">
        <v>47</v>
      </c>
      <c r="K141" s="55">
        <f t="shared" si="3"/>
        <v>32.711999999999996</v>
      </c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18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s="12" customFormat="1" ht="15.75" customHeight="1" outlineLevel="2">
      <c r="A142" s="139">
        <v>58</v>
      </c>
      <c r="B142" s="141" t="s">
        <v>378</v>
      </c>
      <c r="C142" s="39" t="s">
        <v>235</v>
      </c>
      <c r="D142" s="139" t="s">
        <v>10</v>
      </c>
      <c r="E142" s="37" t="s">
        <v>11</v>
      </c>
      <c r="F142" s="35" t="s">
        <v>11</v>
      </c>
      <c r="G142" s="36" t="s">
        <v>28</v>
      </c>
      <c r="H142" s="39">
        <v>0.842</v>
      </c>
      <c r="I142" s="49">
        <v>1</v>
      </c>
      <c r="J142" s="55">
        <v>47</v>
      </c>
      <c r="K142" s="55">
        <f t="shared" si="3"/>
        <v>39.574</v>
      </c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18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s="12" customFormat="1" ht="15.75" customHeight="1" outlineLevel="2">
      <c r="A143" s="139">
        <v>59</v>
      </c>
      <c r="B143" s="141" t="s">
        <v>378</v>
      </c>
      <c r="C143" s="39" t="s">
        <v>236</v>
      </c>
      <c r="D143" s="139" t="s">
        <v>10</v>
      </c>
      <c r="E143" s="37" t="s">
        <v>11</v>
      </c>
      <c r="F143" s="35" t="s">
        <v>11</v>
      </c>
      <c r="G143" s="36" t="s">
        <v>28</v>
      </c>
      <c r="H143" s="39">
        <v>0.505</v>
      </c>
      <c r="I143" s="49">
        <v>1</v>
      </c>
      <c r="J143" s="55">
        <v>47</v>
      </c>
      <c r="K143" s="55">
        <f t="shared" si="3"/>
        <v>23.735</v>
      </c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18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s="12" customFormat="1" ht="15.75" customHeight="1" outlineLevel="1">
      <c r="A144" s="139"/>
      <c r="B144" s="125" t="s">
        <v>590</v>
      </c>
      <c r="C144" s="39"/>
      <c r="D144" s="139"/>
      <c r="E144" s="37"/>
      <c r="F144" s="49"/>
      <c r="G144" s="38"/>
      <c r="H144" s="85">
        <f>SUBTOTAL(9,H85:H143)</f>
        <v>61.077999999999996</v>
      </c>
      <c r="I144" s="49"/>
      <c r="J144" s="54"/>
      <c r="K144" s="55"/>
      <c r="L144" s="62"/>
      <c r="M144" s="62"/>
      <c r="N144" s="97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s="12" customFormat="1" ht="15.75" customHeight="1" outlineLevel="1">
      <c r="A145" s="139"/>
      <c r="B145" s="43"/>
      <c r="C145" s="39"/>
      <c r="D145" s="139"/>
      <c r="E145" s="37"/>
      <c r="F145" s="49"/>
      <c r="G145" s="38"/>
      <c r="H145" s="85"/>
      <c r="I145" s="49"/>
      <c r="J145" s="54"/>
      <c r="K145" s="55"/>
      <c r="L145" s="62"/>
      <c r="M145" s="62"/>
      <c r="N145" s="97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s="12" customFormat="1" ht="15.75" customHeight="1" outlineLevel="1">
      <c r="A146" s="139"/>
      <c r="B146" s="43"/>
      <c r="C146" s="39"/>
      <c r="D146" s="139"/>
      <c r="E146" s="37"/>
      <c r="F146" s="49"/>
      <c r="G146" s="38"/>
      <c r="H146" s="39"/>
      <c r="I146" s="49"/>
      <c r="J146" s="54"/>
      <c r="K146" s="55"/>
      <c r="L146" s="62"/>
      <c r="M146" s="62"/>
      <c r="N146" s="97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s="3" customFormat="1" ht="15.75" customHeight="1" outlineLevel="1">
      <c r="A147" s="139"/>
      <c r="B147" s="43"/>
      <c r="C147" s="68"/>
      <c r="D147" s="139"/>
      <c r="E147" s="28"/>
      <c r="F147" s="142"/>
      <c r="G147" s="141"/>
      <c r="H147" s="79"/>
      <c r="I147" s="45"/>
      <c r="J147" s="54"/>
      <c r="K147" s="55"/>
      <c r="L147" s="62"/>
      <c r="M147" s="62"/>
      <c r="N147" s="97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11" ht="15.75" customHeight="1" outlineLevel="1">
      <c r="A148" s="139"/>
      <c r="B148" s="141"/>
      <c r="C148" s="143"/>
      <c r="D148" s="139"/>
      <c r="E148" s="144"/>
      <c r="F148" s="141"/>
      <c r="G148" s="141"/>
      <c r="H148" s="77"/>
      <c r="I148" s="44"/>
      <c r="J148" s="54"/>
      <c r="K148" s="55"/>
    </row>
    <row r="149" spans="1:64" ht="15.75" customHeight="1" outlineLevel="2">
      <c r="A149" s="139">
        <v>1</v>
      </c>
      <c r="B149" s="141" t="s">
        <v>377</v>
      </c>
      <c r="C149" s="66" t="s">
        <v>119</v>
      </c>
      <c r="D149" s="139" t="s">
        <v>24</v>
      </c>
      <c r="E149" s="144" t="s">
        <v>19</v>
      </c>
      <c r="F149" s="141" t="s">
        <v>16</v>
      </c>
      <c r="G149" s="141" t="s">
        <v>25</v>
      </c>
      <c r="H149" s="77">
        <v>6.9</v>
      </c>
      <c r="I149" s="44">
        <v>1.2</v>
      </c>
      <c r="J149" s="55">
        <v>13</v>
      </c>
      <c r="K149" s="55">
        <f t="shared" si="3"/>
        <v>107.63999999999999</v>
      </c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174">
        <f aca="true" t="shared" si="4" ref="AI149:BL149">(AH149+10.76)</f>
        <v>10.76</v>
      </c>
      <c r="AJ149" s="55">
        <f t="shared" si="4"/>
        <v>21.52</v>
      </c>
      <c r="AK149" s="55">
        <f t="shared" si="4"/>
        <v>32.28</v>
      </c>
      <c r="AL149" s="55">
        <f t="shared" si="4"/>
        <v>43.04</v>
      </c>
      <c r="AM149" s="55">
        <f t="shared" si="4"/>
        <v>53.8</v>
      </c>
      <c r="AN149" s="55">
        <f t="shared" si="4"/>
        <v>64.56</v>
      </c>
      <c r="AO149" s="55">
        <f t="shared" si="4"/>
        <v>75.32000000000001</v>
      </c>
      <c r="AP149" s="55">
        <f t="shared" si="4"/>
        <v>86.08000000000001</v>
      </c>
      <c r="AQ149" s="55">
        <f t="shared" si="4"/>
        <v>96.84000000000002</v>
      </c>
      <c r="AR149" s="55">
        <f t="shared" si="4"/>
        <v>107.60000000000002</v>
      </c>
      <c r="AS149" s="55">
        <f t="shared" si="4"/>
        <v>118.36000000000003</v>
      </c>
      <c r="AT149" s="55">
        <f t="shared" si="4"/>
        <v>129.12000000000003</v>
      </c>
      <c r="AU149" s="55">
        <f t="shared" si="4"/>
        <v>139.88000000000002</v>
      </c>
      <c r="AV149" s="55">
        <f t="shared" si="4"/>
        <v>150.64000000000001</v>
      </c>
      <c r="AW149" s="55">
        <f t="shared" si="4"/>
        <v>161.4</v>
      </c>
      <c r="AX149" s="55">
        <f t="shared" si="4"/>
        <v>172.16</v>
      </c>
      <c r="AY149" s="55">
        <f t="shared" si="4"/>
        <v>182.92</v>
      </c>
      <c r="AZ149" s="55">
        <f t="shared" si="4"/>
        <v>193.67999999999998</v>
      </c>
      <c r="BA149" s="55">
        <f t="shared" si="4"/>
        <v>204.43999999999997</v>
      </c>
      <c r="BB149" s="55">
        <f t="shared" si="4"/>
        <v>215.19999999999996</v>
      </c>
      <c r="BC149" s="55">
        <f t="shared" si="4"/>
        <v>225.95999999999995</v>
      </c>
      <c r="BD149" s="55">
        <f t="shared" si="4"/>
        <v>236.71999999999994</v>
      </c>
      <c r="BE149" s="55">
        <f t="shared" si="4"/>
        <v>247.47999999999993</v>
      </c>
      <c r="BF149" s="55">
        <f t="shared" si="4"/>
        <v>258.23999999999995</v>
      </c>
      <c r="BG149" s="55">
        <f t="shared" si="4"/>
        <v>268.99999999999994</v>
      </c>
      <c r="BH149" s="55">
        <f t="shared" si="4"/>
        <v>279.75999999999993</v>
      </c>
      <c r="BI149" s="55">
        <f t="shared" si="4"/>
        <v>290.5199999999999</v>
      </c>
      <c r="BJ149" s="55">
        <f t="shared" si="4"/>
        <v>301.2799999999999</v>
      </c>
      <c r="BK149" s="55">
        <f t="shared" si="4"/>
        <v>312.0399999999999</v>
      </c>
      <c r="BL149" s="55">
        <f t="shared" si="4"/>
        <v>322.7999999999999</v>
      </c>
    </row>
    <row r="150" spans="1:64" ht="15.75" customHeight="1" outlineLevel="2">
      <c r="A150" s="139">
        <v>2</v>
      </c>
      <c r="B150" s="141" t="s">
        <v>377</v>
      </c>
      <c r="C150" s="39" t="s">
        <v>308</v>
      </c>
      <c r="D150" s="27" t="s">
        <v>26</v>
      </c>
      <c r="E150" s="37" t="s">
        <v>40</v>
      </c>
      <c r="F150" s="35" t="s">
        <v>40</v>
      </c>
      <c r="G150" s="36" t="s">
        <v>28</v>
      </c>
      <c r="H150" s="39">
        <v>1.761</v>
      </c>
      <c r="I150" s="132">
        <v>0.7</v>
      </c>
      <c r="J150" s="55">
        <v>28</v>
      </c>
      <c r="K150" s="55">
        <f t="shared" si="3"/>
        <v>34.5156</v>
      </c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174">
        <f aca="true" t="shared" si="5" ref="AI150:BL150">(AH150+3.45)</f>
        <v>3.45</v>
      </c>
      <c r="AJ150" s="55">
        <f t="shared" si="5"/>
        <v>6.9</v>
      </c>
      <c r="AK150" s="55">
        <f t="shared" si="5"/>
        <v>10.350000000000001</v>
      </c>
      <c r="AL150" s="55">
        <f t="shared" si="5"/>
        <v>13.8</v>
      </c>
      <c r="AM150" s="55">
        <f t="shared" si="5"/>
        <v>17.25</v>
      </c>
      <c r="AN150" s="55">
        <f t="shared" si="5"/>
        <v>20.7</v>
      </c>
      <c r="AO150" s="55">
        <f t="shared" si="5"/>
        <v>24.15</v>
      </c>
      <c r="AP150" s="55">
        <f t="shared" si="5"/>
        <v>27.599999999999998</v>
      </c>
      <c r="AQ150" s="55">
        <f t="shared" si="5"/>
        <v>31.049999999999997</v>
      </c>
      <c r="AR150" s="55">
        <f t="shared" si="5"/>
        <v>34.5</v>
      </c>
      <c r="AS150" s="55">
        <f t="shared" si="5"/>
        <v>37.95</v>
      </c>
      <c r="AT150" s="55">
        <f t="shared" si="5"/>
        <v>41.400000000000006</v>
      </c>
      <c r="AU150" s="55">
        <f t="shared" si="5"/>
        <v>44.85000000000001</v>
      </c>
      <c r="AV150" s="55">
        <f t="shared" si="5"/>
        <v>48.30000000000001</v>
      </c>
      <c r="AW150" s="55">
        <f t="shared" si="5"/>
        <v>51.750000000000014</v>
      </c>
      <c r="AX150" s="55">
        <f t="shared" si="5"/>
        <v>55.20000000000002</v>
      </c>
      <c r="AY150" s="55">
        <f t="shared" si="5"/>
        <v>58.65000000000002</v>
      </c>
      <c r="AZ150" s="55">
        <f t="shared" si="5"/>
        <v>62.10000000000002</v>
      </c>
      <c r="BA150" s="55">
        <f t="shared" si="5"/>
        <v>65.55000000000003</v>
      </c>
      <c r="BB150" s="55">
        <f t="shared" si="5"/>
        <v>69.00000000000003</v>
      </c>
      <c r="BC150" s="55">
        <f t="shared" si="5"/>
        <v>72.45000000000003</v>
      </c>
      <c r="BD150" s="55">
        <f t="shared" si="5"/>
        <v>75.90000000000003</v>
      </c>
      <c r="BE150" s="55">
        <f t="shared" si="5"/>
        <v>79.35000000000004</v>
      </c>
      <c r="BF150" s="55">
        <f t="shared" si="5"/>
        <v>82.80000000000004</v>
      </c>
      <c r="BG150" s="55">
        <f t="shared" si="5"/>
        <v>86.25000000000004</v>
      </c>
      <c r="BH150" s="55">
        <f t="shared" si="5"/>
        <v>89.70000000000005</v>
      </c>
      <c r="BI150" s="55">
        <f t="shared" si="5"/>
        <v>93.15000000000005</v>
      </c>
      <c r="BJ150" s="55">
        <f t="shared" si="5"/>
        <v>96.60000000000005</v>
      </c>
      <c r="BK150" s="55">
        <f t="shared" si="5"/>
        <v>100.05000000000005</v>
      </c>
      <c r="BL150" s="55">
        <f t="shared" si="5"/>
        <v>103.50000000000006</v>
      </c>
    </row>
    <row r="151" spans="1:70" s="3" customFormat="1" ht="15.75" customHeight="1" outlineLevel="2">
      <c r="A151" s="139">
        <v>3</v>
      </c>
      <c r="B151" s="141" t="s">
        <v>377</v>
      </c>
      <c r="C151" s="39" t="s">
        <v>309</v>
      </c>
      <c r="D151" s="27" t="s">
        <v>26</v>
      </c>
      <c r="E151" s="37" t="s">
        <v>40</v>
      </c>
      <c r="F151" s="35" t="s">
        <v>40</v>
      </c>
      <c r="G151" s="36" t="s">
        <v>28</v>
      </c>
      <c r="H151" s="39">
        <v>3.55</v>
      </c>
      <c r="I151" s="132">
        <v>0.7</v>
      </c>
      <c r="J151" s="55">
        <v>28</v>
      </c>
      <c r="K151" s="55">
        <f t="shared" si="3"/>
        <v>69.58</v>
      </c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174">
        <f aca="true" t="shared" si="6" ref="AI151:BL151">(AH151+6.96)</f>
        <v>6.96</v>
      </c>
      <c r="AJ151" s="55">
        <f t="shared" si="6"/>
        <v>13.92</v>
      </c>
      <c r="AK151" s="55">
        <f t="shared" si="6"/>
        <v>20.88</v>
      </c>
      <c r="AL151" s="55">
        <f t="shared" si="6"/>
        <v>27.84</v>
      </c>
      <c r="AM151" s="55">
        <f t="shared" si="6"/>
        <v>34.8</v>
      </c>
      <c r="AN151" s="55">
        <f t="shared" si="6"/>
        <v>41.76</v>
      </c>
      <c r="AO151" s="55">
        <f t="shared" si="6"/>
        <v>48.72</v>
      </c>
      <c r="AP151" s="55">
        <f t="shared" si="6"/>
        <v>55.68</v>
      </c>
      <c r="AQ151" s="55">
        <f t="shared" si="6"/>
        <v>62.64</v>
      </c>
      <c r="AR151" s="55">
        <f t="shared" si="6"/>
        <v>69.6</v>
      </c>
      <c r="AS151" s="55">
        <f t="shared" si="6"/>
        <v>76.55999999999999</v>
      </c>
      <c r="AT151" s="55">
        <f t="shared" si="6"/>
        <v>83.51999999999998</v>
      </c>
      <c r="AU151" s="55">
        <f t="shared" si="6"/>
        <v>90.47999999999998</v>
      </c>
      <c r="AV151" s="55">
        <f t="shared" si="6"/>
        <v>97.43999999999997</v>
      </c>
      <c r="AW151" s="55">
        <f t="shared" si="6"/>
        <v>104.39999999999996</v>
      </c>
      <c r="AX151" s="55">
        <f t="shared" si="6"/>
        <v>111.35999999999996</v>
      </c>
      <c r="AY151" s="55">
        <f t="shared" si="6"/>
        <v>118.31999999999995</v>
      </c>
      <c r="AZ151" s="55">
        <f t="shared" si="6"/>
        <v>125.27999999999994</v>
      </c>
      <c r="BA151" s="55">
        <f t="shared" si="6"/>
        <v>132.23999999999995</v>
      </c>
      <c r="BB151" s="55">
        <f t="shared" si="6"/>
        <v>139.19999999999996</v>
      </c>
      <c r="BC151" s="55">
        <f t="shared" si="6"/>
        <v>146.15999999999997</v>
      </c>
      <c r="BD151" s="55">
        <f t="shared" si="6"/>
        <v>153.11999999999998</v>
      </c>
      <c r="BE151" s="55">
        <f t="shared" si="6"/>
        <v>160.07999999999998</v>
      </c>
      <c r="BF151" s="55">
        <f t="shared" si="6"/>
        <v>167.04</v>
      </c>
      <c r="BG151" s="55">
        <f t="shared" si="6"/>
        <v>174</v>
      </c>
      <c r="BH151" s="55">
        <f t="shared" si="6"/>
        <v>180.96</v>
      </c>
      <c r="BI151" s="55">
        <f t="shared" si="6"/>
        <v>187.92000000000002</v>
      </c>
      <c r="BJ151" s="55">
        <f t="shared" si="6"/>
        <v>194.88000000000002</v>
      </c>
      <c r="BK151" s="55">
        <f t="shared" si="6"/>
        <v>201.84000000000003</v>
      </c>
      <c r="BL151" s="55">
        <f t="shared" si="6"/>
        <v>208.80000000000004</v>
      </c>
      <c r="BM151" s="2"/>
      <c r="BN151" s="2"/>
      <c r="BO151" s="2"/>
      <c r="BP151" s="2"/>
      <c r="BQ151" s="2"/>
      <c r="BR151" s="2"/>
    </row>
    <row r="152" spans="1:49" ht="15.75" customHeight="1" outlineLevel="2">
      <c r="A152" s="139">
        <v>4</v>
      </c>
      <c r="B152" s="141" t="s">
        <v>377</v>
      </c>
      <c r="C152" s="39" t="s">
        <v>310</v>
      </c>
      <c r="D152" s="27" t="s">
        <v>26</v>
      </c>
      <c r="E152" s="37" t="s">
        <v>40</v>
      </c>
      <c r="F152" s="35" t="s">
        <v>40</v>
      </c>
      <c r="G152" s="36" t="s">
        <v>28</v>
      </c>
      <c r="H152" s="39">
        <v>1.211</v>
      </c>
      <c r="I152" s="132">
        <v>0.7</v>
      </c>
      <c r="J152" s="55">
        <v>28</v>
      </c>
      <c r="K152" s="55">
        <f t="shared" si="3"/>
        <v>23.7356</v>
      </c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174">
        <f aca="true" t="shared" si="7" ref="AI152:AW152">(AH152+2.37)</f>
        <v>2.37</v>
      </c>
      <c r="AJ152" s="55">
        <f t="shared" si="7"/>
        <v>4.74</v>
      </c>
      <c r="AK152" s="55">
        <f t="shared" si="7"/>
        <v>7.11</v>
      </c>
      <c r="AL152" s="55">
        <f t="shared" si="7"/>
        <v>9.48</v>
      </c>
      <c r="AM152" s="55">
        <f t="shared" si="7"/>
        <v>11.850000000000001</v>
      </c>
      <c r="AN152" s="55">
        <f t="shared" si="7"/>
        <v>14.220000000000002</v>
      </c>
      <c r="AO152" s="55">
        <f t="shared" si="7"/>
        <v>16.590000000000003</v>
      </c>
      <c r="AP152" s="55">
        <f t="shared" si="7"/>
        <v>18.960000000000004</v>
      </c>
      <c r="AQ152" s="55">
        <f t="shared" si="7"/>
        <v>21.330000000000005</v>
      </c>
      <c r="AR152" s="55">
        <f t="shared" si="7"/>
        <v>23.700000000000006</v>
      </c>
      <c r="AS152" s="55">
        <f t="shared" si="7"/>
        <v>26.070000000000007</v>
      </c>
      <c r="AT152" s="55">
        <f t="shared" si="7"/>
        <v>28.44000000000001</v>
      </c>
      <c r="AU152" s="55">
        <f t="shared" si="7"/>
        <v>30.81000000000001</v>
      </c>
      <c r="AV152" s="55">
        <f t="shared" si="7"/>
        <v>33.18000000000001</v>
      </c>
      <c r="AW152" s="55">
        <f t="shared" si="7"/>
        <v>35.550000000000004</v>
      </c>
    </row>
    <row r="153" spans="1:51" ht="15.75" customHeight="1" outlineLevel="2">
      <c r="A153" s="139">
        <v>5</v>
      </c>
      <c r="B153" s="141" t="s">
        <v>377</v>
      </c>
      <c r="C153" s="39" t="s">
        <v>311</v>
      </c>
      <c r="D153" s="27" t="s">
        <v>26</v>
      </c>
      <c r="E153" s="37" t="s">
        <v>40</v>
      </c>
      <c r="F153" s="35" t="s">
        <v>40</v>
      </c>
      <c r="G153" s="36" t="s">
        <v>28</v>
      </c>
      <c r="H153" s="39">
        <v>1.655</v>
      </c>
      <c r="I153" s="132">
        <v>0.7</v>
      </c>
      <c r="J153" s="55">
        <v>28</v>
      </c>
      <c r="K153" s="55">
        <f t="shared" si="3"/>
        <v>32.437999999999995</v>
      </c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174">
        <f aca="true" t="shared" si="8" ref="AI153:AY153">(AH153+3.24)</f>
        <v>3.24</v>
      </c>
      <c r="AJ153" s="55">
        <f t="shared" si="8"/>
        <v>6.48</v>
      </c>
      <c r="AK153" s="55">
        <f t="shared" si="8"/>
        <v>9.72</v>
      </c>
      <c r="AL153" s="55">
        <f t="shared" si="8"/>
        <v>12.96</v>
      </c>
      <c r="AM153" s="55">
        <f t="shared" si="8"/>
        <v>16.200000000000003</v>
      </c>
      <c r="AN153" s="55">
        <f t="shared" si="8"/>
        <v>19.440000000000005</v>
      </c>
      <c r="AO153" s="55">
        <f t="shared" si="8"/>
        <v>22.680000000000007</v>
      </c>
      <c r="AP153" s="55">
        <f t="shared" si="8"/>
        <v>25.92000000000001</v>
      </c>
      <c r="AQ153" s="55">
        <f t="shared" si="8"/>
        <v>29.16000000000001</v>
      </c>
      <c r="AR153" s="55">
        <f t="shared" si="8"/>
        <v>32.40000000000001</v>
      </c>
      <c r="AS153" s="55">
        <f t="shared" si="8"/>
        <v>35.640000000000015</v>
      </c>
      <c r="AT153" s="55">
        <f t="shared" si="8"/>
        <v>38.88000000000002</v>
      </c>
      <c r="AU153" s="55">
        <f t="shared" si="8"/>
        <v>42.12000000000002</v>
      </c>
      <c r="AV153" s="55">
        <f t="shared" si="8"/>
        <v>45.36000000000002</v>
      </c>
      <c r="AW153" s="55">
        <f t="shared" si="8"/>
        <v>48.60000000000002</v>
      </c>
      <c r="AX153" s="55">
        <f t="shared" si="8"/>
        <v>51.840000000000025</v>
      </c>
      <c r="AY153" s="55">
        <f t="shared" si="8"/>
        <v>55.08000000000003</v>
      </c>
    </row>
    <row r="154" spans="1:50" ht="15.75" customHeight="1" outlineLevel="2">
      <c r="A154" s="139">
        <v>6</v>
      </c>
      <c r="B154" s="141" t="s">
        <v>377</v>
      </c>
      <c r="C154" s="69" t="s">
        <v>120</v>
      </c>
      <c r="D154" s="27" t="s">
        <v>26</v>
      </c>
      <c r="E154" s="28" t="s">
        <v>27</v>
      </c>
      <c r="F154" s="35" t="s">
        <v>40</v>
      </c>
      <c r="G154" s="142" t="s">
        <v>28</v>
      </c>
      <c r="H154" s="24">
        <v>4.404</v>
      </c>
      <c r="I154" s="132">
        <v>0.7</v>
      </c>
      <c r="J154" s="55">
        <v>28</v>
      </c>
      <c r="K154" s="55">
        <f t="shared" si="3"/>
        <v>86.3184</v>
      </c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174">
        <f aca="true" t="shared" si="9" ref="AI154:AW154">(AH154+8.63)</f>
        <v>8.63</v>
      </c>
      <c r="AJ154" s="55">
        <f t="shared" si="9"/>
        <v>17.26</v>
      </c>
      <c r="AK154" s="55">
        <f t="shared" si="9"/>
        <v>25.89</v>
      </c>
      <c r="AL154" s="55">
        <f t="shared" si="9"/>
        <v>34.52</v>
      </c>
      <c r="AM154" s="55">
        <f t="shared" si="9"/>
        <v>43.150000000000006</v>
      </c>
      <c r="AN154" s="55">
        <f t="shared" si="9"/>
        <v>51.78000000000001</v>
      </c>
      <c r="AO154" s="55">
        <f t="shared" si="9"/>
        <v>60.41000000000001</v>
      </c>
      <c r="AP154" s="55">
        <f t="shared" si="9"/>
        <v>69.04</v>
      </c>
      <c r="AQ154" s="55">
        <f t="shared" si="9"/>
        <v>77.67</v>
      </c>
      <c r="AR154" s="55">
        <f t="shared" si="9"/>
        <v>86.3</v>
      </c>
      <c r="AS154" s="55">
        <f t="shared" si="9"/>
        <v>94.92999999999999</v>
      </c>
      <c r="AT154" s="55">
        <f t="shared" si="9"/>
        <v>103.55999999999999</v>
      </c>
      <c r="AU154" s="55">
        <f t="shared" si="9"/>
        <v>112.18999999999998</v>
      </c>
      <c r="AV154" s="55">
        <f t="shared" si="9"/>
        <v>120.81999999999998</v>
      </c>
      <c r="AW154" s="55">
        <f t="shared" si="9"/>
        <v>129.45</v>
      </c>
      <c r="AX154" s="55"/>
    </row>
    <row r="155" spans="1:50" ht="15.75" customHeight="1" outlineLevel="2">
      <c r="A155" s="139">
        <v>7</v>
      </c>
      <c r="B155" s="141" t="s">
        <v>377</v>
      </c>
      <c r="C155" s="39" t="s">
        <v>312</v>
      </c>
      <c r="D155" s="27" t="s">
        <v>26</v>
      </c>
      <c r="E155" s="37" t="s">
        <v>40</v>
      </c>
      <c r="F155" s="35" t="s">
        <v>40</v>
      </c>
      <c r="G155" s="36" t="s">
        <v>28</v>
      </c>
      <c r="H155" s="39">
        <v>2.658</v>
      </c>
      <c r="I155" s="132">
        <v>0.7</v>
      </c>
      <c r="J155" s="55">
        <v>28</v>
      </c>
      <c r="K155" s="55">
        <f t="shared" si="3"/>
        <v>52.096799999999995</v>
      </c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174">
        <f>(AH155+5.21)</f>
        <v>5.21</v>
      </c>
      <c r="AJ155" s="55">
        <f>(AI155+5.21)</f>
        <v>10.42</v>
      </c>
      <c r="AK155" s="55">
        <f aca="true" t="shared" si="10" ref="AK155:AX155">(AJ155+5.21)</f>
        <v>15.629999999999999</v>
      </c>
      <c r="AL155" s="55">
        <f t="shared" si="10"/>
        <v>20.84</v>
      </c>
      <c r="AM155" s="55">
        <f t="shared" si="10"/>
        <v>26.05</v>
      </c>
      <c r="AN155" s="55">
        <f t="shared" si="10"/>
        <v>31.26</v>
      </c>
      <c r="AO155" s="55">
        <f t="shared" si="10"/>
        <v>36.47</v>
      </c>
      <c r="AP155" s="55">
        <f t="shared" si="10"/>
        <v>41.68</v>
      </c>
      <c r="AQ155" s="55">
        <f t="shared" si="10"/>
        <v>46.89</v>
      </c>
      <c r="AR155" s="55">
        <f t="shared" si="10"/>
        <v>52.1</v>
      </c>
      <c r="AS155" s="55">
        <f t="shared" si="10"/>
        <v>57.31</v>
      </c>
      <c r="AT155" s="55">
        <f t="shared" si="10"/>
        <v>62.52</v>
      </c>
      <c r="AU155" s="55">
        <f t="shared" si="10"/>
        <v>67.73</v>
      </c>
      <c r="AV155" s="55">
        <f t="shared" si="10"/>
        <v>72.94</v>
      </c>
      <c r="AW155" s="55">
        <f t="shared" si="10"/>
        <v>78.14999999999999</v>
      </c>
      <c r="AX155" s="55">
        <f t="shared" si="10"/>
        <v>83.35999999999999</v>
      </c>
    </row>
    <row r="156" spans="1:50" ht="15.75" customHeight="1" outlineLevel="2">
      <c r="A156" s="139">
        <v>8</v>
      </c>
      <c r="B156" s="141" t="s">
        <v>377</v>
      </c>
      <c r="C156" s="39" t="s">
        <v>313</v>
      </c>
      <c r="D156" s="27" t="s">
        <v>26</v>
      </c>
      <c r="E156" s="37" t="s">
        <v>40</v>
      </c>
      <c r="F156" s="35" t="s">
        <v>40</v>
      </c>
      <c r="G156" s="36" t="s">
        <v>28</v>
      </c>
      <c r="H156" s="39">
        <v>2.054</v>
      </c>
      <c r="I156" s="132">
        <v>0.7</v>
      </c>
      <c r="J156" s="55">
        <v>28</v>
      </c>
      <c r="K156" s="55">
        <f t="shared" si="3"/>
        <v>40.258399999999995</v>
      </c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174">
        <f>(AH156+4.03)</f>
        <v>4.03</v>
      </c>
      <c r="AJ156" s="55">
        <f>(AI156+4.03)</f>
        <v>8.06</v>
      </c>
      <c r="AK156" s="55">
        <f aca="true" t="shared" si="11" ref="AK156:AX156">(AJ156+4.03)</f>
        <v>12.09</v>
      </c>
      <c r="AL156" s="55">
        <f t="shared" si="11"/>
        <v>16.12</v>
      </c>
      <c r="AM156" s="55">
        <f t="shared" si="11"/>
        <v>20.150000000000002</v>
      </c>
      <c r="AN156" s="55">
        <f t="shared" si="11"/>
        <v>24.180000000000003</v>
      </c>
      <c r="AO156" s="55">
        <f t="shared" si="11"/>
        <v>28.210000000000004</v>
      </c>
      <c r="AP156" s="55">
        <f t="shared" si="11"/>
        <v>32.24</v>
      </c>
      <c r="AQ156" s="55">
        <f t="shared" si="11"/>
        <v>36.27</v>
      </c>
      <c r="AR156" s="55">
        <f t="shared" si="11"/>
        <v>40.300000000000004</v>
      </c>
      <c r="AS156" s="55">
        <f t="shared" si="11"/>
        <v>44.330000000000005</v>
      </c>
      <c r="AT156" s="55">
        <f t="shared" si="11"/>
        <v>48.36000000000001</v>
      </c>
      <c r="AU156" s="55">
        <f t="shared" si="11"/>
        <v>52.39000000000001</v>
      </c>
      <c r="AV156" s="55">
        <f t="shared" si="11"/>
        <v>56.42000000000001</v>
      </c>
      <c r="AW156" s="55">
        <f t="shared" si="11"/>
        <v>60.45000000000001</v>
      </c>
      <c r="AX156" s="55">
        <f t="shared" si="11"/>
        <v>64.48</v>
      </c>
    </row>
    <row r="157" spans="1:70" s="3" customFormat="1" ht="15.75" customHeight="1" outlineLevel="2">
      <c r="A157" s="139">
        <v>9</v>
      </c>
      <c r="B157" s="141" t="s">
        <v>377</v>
      </c>
      <c r="C157" s="69" t="s">
        <v>121</v>
      </c>
      <c r="D157" s="27" t="s">
        <v>26</v>
      </c>
      <c r="E157" s="28" t="s">
        <v>27</v>
      </c>
      <c r="F157" s="35" t="s">
        <v>40</v>
      </c>
      <c r="G157" s="142" t="s">
        <v>28</v>
      </c>
      <c r="H157" s="24">
        <v>5.009</v>
      </c>
      <c r="I157" s="132">
        <v>0.7</v>
      </c>
      <c r="J157" s="55">
        <v>28</v>
      </c>
      <c r="K157" s="55">
        <f t="shared" si="3"/>
        <v>98.1764</v>
      </c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174">
        <f aca="true" t="shared" si="12" ref="AI157:AY157">(AH157+9.82)</f>
        <v>9.82</v>
      </c>
      <c r="AJ157" s="55">
        <f t="shared" si="12"/>
        <v>19.64</v>
      </c>
      <c r="AK157" s="55">
        <f t="shared" si="12"/>
        <v>29.46</v>
      </c>
      <c r="AL157" s="55">
        <f t="shared" si="12"/>
        <v>39.28</v>
      </c>
      <c r="AM157" s="55">
        <f t="shared" si="12"/>
        <v>49.1</v>
      </c>
      <c r="AN157" s="55">
        <f t="shared" si="12"/>
        <v>58.92</v>
      </c>
      <c r="AO157" s="55">
        <f t="shared" si="12"/>
        <v>68.74000000000001</v>
      </c>
      <c r="AP157" s="55">
        <f t="shared" si="12"/>
        <v>78.56</v>
      </c>
      <c r="AQ157" s="55">
        <f t="shared" si="12"/>
        <v>88.38</v>
      </c>
      <c r="AR157" s="55">
        <f t="shared" si="12"/>
        <v>98.19999999999999</v>
      </c>
      <c r="AS157" s="55">
        <f t="shared" si="12"/>
        <v>108.01999999999998</v>
      </c>
      <c r="AT157" s="55">
        <f t="shared" si="12"/>
        <v>117.83999999999997</v>
      </c>
      <c r="AU157" s="55">
        <f t="shared" si="12"/>
        <v>127.65999999999997</v>
      </c>
      <c r="AV157" s="55">
        <f t="shared" si="12"/>
        <v>137.47999999999996</v>
      </c>
      <c r="AW157" s="55">
        <f t="shared" si="12"/>
        <v>147.29999999999995</v>
      </c>
      <c r="AX157" s="55">
        <f t="shared" si="12"/>
        <v>157.11999999999995</v>
      </c>
      <c r="AY157" s="55">
        <f t="shared" si="12"/>
        <v>166.93999999999994</v>
      </c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s="1" customFormat="1" ht="15.75" customHeight="1" outlineLevel="2">
      <c r="A158" s="139">
        <v>10</v>
      </c>
      <c r="B158" s="141" t="s">
        <v>377</v>
      </c>
      <c r="C158" s="39" t="s">
        <v>314</v>
      </c>
      <c r="D158" s="27" t="s">
        <v>26</v>
      </c>
      <c r="E158" s="37" t="s">
        <v>40</v>
      </c>
      <c r="F158" s="35" t="s">
        <v>40</v>
      </c>
      <c r="G158" s="36" t="s">
        <v>28</v>
      </c>
      <c r="H158" s="39">
        <v>1.817</v>
      </c>
      <c r="I158" s="132">
        <v>0.7</v>
      </c>
      <c r="J158" s="55">
        <v>28</v>
      </c>
      <c r="K158" s="55">
        <f t="shared" si="3"/>
        <v>35.61319999999999</v>
      </c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174">
        <f aca="true" t="shared" si="13" ref="AI158:AY158">(AH158+3.56)</f>
        <v>3.56</v>
      </c>
      <c r="AJ158" s="55">
        <f t="shared" si="13"/>
        <v>7.12</v>
      </c>
      <c r="AK158" s="55">
        <f t="shared" si="13"/>
        <v>10.68</v>
      </c>
      <c r="AL158" s="55">
        <f t="shared" si="13"/>
        <v>14.24</v>
      </c>
      <c r="AM158" s="55">
        <f t="shared" si="13"/>
        <v>17.8</v>
      </c>
      <c r="AN158" s="55">
        <f t="shared" si="13"/>
        <v>21.36</v>
      </c>
      <c r="AO158" s="55">
        <f t="shared" si="13"/>
        <v>24.919999999999998</v>
      </c>
      <c r="AP158" s="55">
        <f t="shared" si="13"/>
        <v>28.479999999999997</v>
      </c>
      <c r="AQ158" s="55">
        <f t="shared" si="13"/>
        <v>32.04</v>
      </c>
      <c r="AR158" s="55">
        <f t="shared" si="13"/>
        <v>35.6</v>
      </c>
      <c r="AS158" s="55">
        <f t="shared" si="13"/>
        <v>39.160000000000004</v>
      </c>
      <c r="AT158" s="55">
        <f t="shared" si="13"/>
        <v>42.720000000000006</v>
      </c>
      <c r="AU158" s="55">
        <f t="shared" si="13"/>
        <v>46.28000000000001</v>
      </c>
      <c r="AV158" s="55">
        <f t="shared" si="13"/>
        <v>49.84000000000001</v>
      </c>
      <c r="AW158" s="55">
        <f t="shared" si="13"/>
        <v>53.40000000000001</v>
      </c>
      <c r="AX158" s="55">
        <f t="shared" si="13"/>
        <v>56.960000000000015</v>
      </c>
      <c r="AY158" s="55">
        <f t="shared" si="13"/>
        <v>60.52000000000002</v>
      </c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s="1" customFormat="1" ht="15.75" customHeight="1" outlineLevel="2">
      <c r="A159" s="139">
        <v>11</v>
      </c>
      <c r="B159" s="141" t="s">
        <v>377</v>
      </c>
      <c r="C159" s="39" t="s">
        <v>315</v>
      </c>
      <c r="D159" s="27" t="s">
        <v>26</v>
      </c>
      <c r="E159" s="37" t="s">
        <v>40</v>
      </c>
      <c r="F159" s="35" t="s">
        <v>40</v>
      </c>
      <c r="G159" s="36" t="s">
        <v>28</v>
      </c>
      <c r="H159" s="39">
        <v>1.172</v>
      </c>
      <c r="I159" s="132">
        <v>0.7</v>
      </c>
      <c r="J159" s="55">
        <v>28</v>
      </c>
      <c r="K159" s="55">
        <f t="shared" si="3"/>
        <v>22.971199999999996</v>
      </c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174">
        <f aca="true" t="shared" si="14" ref="AI159:AY159">(AH159+2.3)</f>
        <v>2.3</v>
      </c>
      <c r="AJ159" s="55">
        <f t="shared" si="14"/>
        <v>4.6</v>
      </c>
      <c r="AK159" s="55">
        <f t="shared" si="14"/>
        <v>6.8999999999999995</v>
      </c>
      <c r="AL159" s="55">
        <f t="shared" si="14"/>
        <v>9.2</v>
      </c>
      <c r="AM159" s="55">
        <f t="shared" si="14"/>
        <v>11.5</v>
      </c>
      <c r="AN159" s="55">
        <f t="shared" si="14"/>
        <v>13.8</v>
      </c>
      <c r="AO159" s="55">
        <f t="shared" si="14"/>
        <v>16.1</v>
      </c>
      <c r="AP159" s="55">
        <f t="shared" si="14"/>
        <v>18.400000000000002</v>
      </c>
      <c r="AQ159" s="55">
        <f t="shared" si="14"/>
        <v>20.700000000000003</v>
      </c>
      <c r="AR159" s="55">
        <f t="shared" si="14"/>
        <v>23.000000000000004</v>
      </c>
      <c r="AS159" s="55">
        <f t="shared" si="14"/>
        <v>25.300000000000004</v>
      </c>
      <c r="AT159" s="55">
        <f t="shared" si="14"/>
        <v>27.600000000000005</v>
      </c>
      <c r="AU159" s="55">
        <f t="shared" si="14"/>
        <v>29.900000000000006</v>
      </c>
      <c r="AV159" s="55">
        <f t="shared" si="14"/>
        <v>32.2</v>
      </c>
      <c r="AW159" s="55">
        <f t="shared" si="14"/>
        <v>34.5</v>
      </c>
      <c r="AX159" s="55">
        <f t="shared" si="14"/>
        <v>36.8</v>
      </c>
      <c r="AY159" s="55">
        <f t="shared" si="14"/>
        <v>39.099999999999994</v>
      </c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s="12" customFormat="1" ht="15.75" customHeight="1" outlineLevel="2">
      <c r="A160" s="139">
        <v>12</v>
      </c>
      <c r="B160" s="141" t="s">
        <v>377</v>
      </c>
      <c r="C160" s="39" t="s">
        <v>316</v>
      </c>
      <c r="D160" s="27" t="s">
        <v>26</v>
      </c>
      <c r="E160" s="37" t="s">
        <v>11</v>
      </c>
      <c r="F160" s="49" t="s">
        <v>11</v>
      </c>
      <c r="G160" s="38" t="s">
        <v>28</v>
      </c>
      <c r="H160" s="39">
        <v>3.966</v>
      </c>
      <c r="I160" s="49">
        <v>1.2</v>
      </c>
      <c r="J160" s="55">
        <v>28</v>
      </c>
      <c r="K160" s="55">
        <f t="shared" si="3"/>
        <v>133.2576</v>
      </c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18"/>
      <c r="AG160" s="18"/>
      <c r="AH160" s="18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s="12" customFormat="1" ht="15.75" customHeight="1" outlineLevel="2">
      <c r="A161" s="139">
        <v>13</v>
      </c>
      <c r="B161" s="141" t="s">
        <v>377</v>
      </c>
      <c r="C161" s="39" t="s">
        <v>317</v>
      </c>
      <c r="D161" s="27" t="s">
        <v>26</v>
      </c>
      <c r="E161" s="37" t="s">
        <v>40</v>
      </c>
      <c r="F161" s="35" t="s">
        <v>40</v>
      </c>
      <c r="G161" s="38" t="s">
        <v>28</v>
      </c>
      <c r="H161" s="39">
        <v>1.619</v>
      </c>
      <c r="I161" s="132">
        <v>0.7</v>
      </c>
      <c r="J161" s="55">
        <v>28</v>
      </c>
      <c r="K161" s="55">
        <f t="shared" si="3"/>
        <v>31.7324</v>
      </c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174">
        <f aca="true" t="shared" si="15" ref="AI161:AY161">(AH161+3.17)</f>
        <v>3.17</v>
      </c>
      <c r="AJ161" s="55">
        <f t="shared" si="15"/>
        <v>6.34</v>
      </c>
      <c r="AK161" s="55">
        <f t="shared" si="15"/>
        <v>9.51</v>
      </c>
      <c r="AL161" s="55">
        <f t="shared" si="15"/>
        <v>12.68</v>
      </c>
      <c r="AM161" s="55">
        <f t="shared" si="15"/>
        <v>15.85</v>
      </c>
      <c r="AN161" s="55">
        <f t="shared" si="15"/>
        <v>19.02</v>
      </c>
      <c r="AO161" s="55">
        <f t="shared" si="15"/>
        <v>22.189999999999998</v>
      </c>
      <c r="AP161" s="55">
        <f t="shared" si="15"/>
        <v>25.36</v>
      </c>
      <c r="AQ161" s="55">
        <f t="shared" si="15"/>
        <v>28.53</v>
      </c>
      <c r="AR161" s="55">
        <f t="shared" si="15"/>
        <v>31.700000000000003</v>
      </c>
      <c r="AS161" s="55">
        <f t="shared" si="15"/>
        <v>34.870000000000005</v>
      </c>
      <c r="AT161" s="55">
        <f t="shared" si="15"/>
        <v>38.040000000000006</v>
      </c>
      <c r="AU161" s="55">
        <f t="shared" si="15"/>
        <v>41.21000000000001</v>
      </c>
      <c r="AV161" s="55">
        <f t="shared" si="15"/>
        <v>44.38000000000001</v>
      </c>
      <c r="AW161" s="55">
        <f t="shared" si="15"/>
        <v>47.55000000000001</v>
      </c>
      <c r="AX161" s="55">
        <f t="shared" si="15"/>
        <v>50.72000000000001</v>
      </c>
      <c r="AY161" s="55">
        <f t="shared" si="15"/>
        <v>53.890000000000015</v>
      </c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s="12" customFormat="1" ht="15.75" customHeight="1" outlineLevel="2">
      <c r="A162" s="139">
        <v>14</v>
      </c>
      <c r="B162" s="141" t="s">
        <v>377</v>
      </c>
      <c r="C162" s="39" t="s">
        <v>318</v>
      </c>
      <c r="D162" s="27" t="s">
        <v>26</v>
      </c>
      <c r="E162" s="37" t="s">
        <v>11</v>
      </c>
      <c r="F162" s="49" t="s">
        <v>11</v>
      </c>
      <c r="G162" s="38" t="s">
        <v>28</v>
      </c>
      <c r="H162" s="39">
        <v>2.394</v>
      </c>
      <c r="I162" s="49">
        <v>1.2</v>
      </c>
      <c r="J162" s="55">
        <v>28</v>
      </c>
      <c r="K162" s="55">
        <f t="shared" si="3"/>
        <v>80.4384</v>
      </c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18"/>
      <c r="AG162" s="18"/>
      <c r="AH162" s="18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s="12" customFormat="1" ht="15.75" customHeight="1" outlineLevel="2">
      <c r="A163" s="139">
        <v>15</v>
      </c>
      <c r="B163" s="141" t="s">
        <v>377</v>
      </c>
      <c r="C163" s="39" t="s">
        <v>319</v>
      </c>
      <c r="D163" s="27" t="s">
        <v>26</v>
      </c>
      <c r="E163" s="37" t="s">
        <v>40</v>
      </c>
      <c r="F163" s="49" t="s">
        <v>40</v>
      </c>
      <c r="G163" s="38" t="s">
        <v>28</v>
      </c>
      <c r="H163" s="39">
        <v>1.017</v>
      </c>
      <c r="I163" s="132">
        <v>0.7</v>
      </c>
      <c r="J163" s="55">
        <v>28</v>
      </c>
      <c r="K163" s="55">
        <f t="shared" si="3"/>
        <v>19.933199999999996</v>
      </c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174">
        <f aca="true" t="shared" si="16" ref="AI163:AY163">(AH163+1.99)</f>
        <v>1.99</v>
      </c>
      <c r="AJ163" s="55">
        <f t="shared" si="16"/>
        <v>3.98</v>
      </c>
      <c r="AK163" s="55">
        <f t="shared" si="16"/>
        <v>5.97</v>
      </c>
      <c r="AL163" s="55">
        <f t="shared" si="16"/>
        <v>7.96</v>
      </c>
      <c r="AM163" s="55">
        <f t="shared" si="16"/>
        <v>9.95</v>
      </c>
      <c r="AN163" s="55">
        <f t="shared" si="16"/>
        <v>11.94</v>
      </c>
      <c r="AO163" s="55">
        <f t="shared" si="16"/>
        <v>13.93</v>
      </c>
      <c r="AP163" s="55">
        <f t="shared" si="16"/>
        <v>15.92</v>
      </c>
      <c r="AQ163" s="55">
        <f t="shared" si="16"/>
        <v>17.91</v>
      </c>
      <c r="AR163" s="55">
        <f t="shared" si="16"/>
        <v>19.9</v>
      </c>
      <c r="AS163" s="55">
        <f t="shared" si="16"/>
        <v>21.889999999999997</v>
      </c>
      <c r="AT163" s="55">
        <f t="shared" si="16"/>
        <v>23.879999999999995</v>
      </c>
      <c r="AU163" s="55">
        <f t="shared" si="16"/>
        <v>25.869999999999994</v>
      </c>
      <c r="AV163" s="55">
        <f t="shared" si="16"/>
        <v>27.859999999999992</v>
      </c>
      <c r="AW163" s="55">
        <f t="shared" si="16"/>
        <v>29.84999999999999</v>
      </c>
      <c r="AX163" s="55">
        <f t="shared" si="16"/>
        <v>31.83999999999999</v>
      </c>
      <c r="AY163" s="55">
        <f t="shared" si="16"/>
        <v>33.82999999999999</v>
      </c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s="12" customFormat="1" ht="15.75" customHeight="1" outlineLevel="2">
      <c r="A164" s="139">
        <v>16</v>
      </c>
      <c r="B164" s="141" t="s">
        <v>377</v>
      </c>
      <c r="C164" s="39" t="s">
        <v>320</v>
      </c>
      <c r="D164" s="27" t="s">
        <v>42</v>
      </c>
      <c r="E164" s="37" t="s">
        <v>11</v>
      </c>
      <c r="F164" s="49" t="s">
        <v>11</v>
      </c>
      <c r="G164" s="38" t="s">
        <v>28</v>
      </c>
      <c r="H164" s="39">
        <v>1.609</v>
      </c>
      <c r="I164" s="49">
        <v>1.2</v>
      </c>
      <c r="J164" s="55">
        <v>28</v>
      </c>
      <c r="K164" s="55">
        <f t="shared" si="3"/>
        <v>54.0624</v>
      </c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18"/>
      <c r="AG164" s="18"/>
      <c r="AH164" s="18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s="12" customFormat="1" ht="15.75" customHeight="1" outlineLevel="2">
      <c r="A165" s="139">
        <v>17</v>
      </c>
      <c r="B165" s="141" t="s">
        <v>377</v>
      </c>
      <c r="C165" s="39" t="s">
        <v>321</v>
      </c>
      <c r="D165" s="27" t="s">
        <v>42</v>
      </c>
      <c r="E165" s="37" t="s">
        <v>11</v>
      </c>
      <c r="F165" s="49" t="s">
        <v>11</v>
      </c>
      <c r="G165" s="38" t="s">
        <v>28</v>
      </c>
      <c r="H165" s="39">
        <v>1.853</v>
      </c>
      <c r="I165" s="49">
        <v>1.2</v>
      </c>
      <c r="J165" s="55">
        <v>28</v>
      </c>
      <c r="K165" s="55">
        <f t="shared" si="3"/>
        <v>62.260799999999996</v>
      </c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174">
        <f>(AH165+6.23)</f>
        <v>6.23</v>
      </c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s="12" customFormat="1" ht="15.75" customHeight="1" outlineLevel="2">
      <c r="A166" s="139">
        <v>18</v>
      </c>
      <c r="B166" s="141" t="s">
        <v>377</v>
      </c>
      <c r="C166" s="66" t="s">
        <v>117</v>
      </c>
      <c r="D166" s="139" t="s">
        <v>22</v>
      </c>
      <c r="E166" s="144" t="s">
        <v>11</v>
      </c>
      <c r="F166" s="49" t="s">
        <v>11</v>
      </c>
      <c r="G166" s="38" t="s">
        <v>28</v>
      </c>
      <c r="H166" s="77">
        <v>6.86</v>
      </c>
      <c r="I166" s="49">
        <v>1.2</v>
      </c>
      <c r="J166" s="55">
        <v>28</v>
      </c>
      <c r="K166" s="55">
        <f t="shared" si="3"/>
        <v>230.49599999999998</v>
      </c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174">
        <f>(AH166+23.05)</f>
        <v>23.05</v>
      </c>
      <c r="AJ166" s="55">
        <f>(AI166+23.05)</f>
        <v>46.1</v>
      </c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s="12" customFormat="1" ht="15.75" customHeight="1" outlineLevel="2">
      <c r="A167" s="139">
        <v>19</v>
      </c>
      <c r="B167" s="41" t="s">
        <v>377</v>
      </c>
      <c r="C167" s="39" t="s">
        <v>122</v>
      </c>
      <c r="D167" s="27" t="s">
        <v>29</v>
      </c>
      <c r="E167" s="37"/>
      <c r="F167" s="45" t="s">
        <v>16</v>
      </c>
      <c r="G167" s="38" t="s">
        <v>33</v>
      </c>
      <c r="H167" s="27">
        <v>13.231</v>
      </c>
      <c r="I167" s="45">
        <v>1.2</v>
      </c>
      <c r="J167" s="55">
        <v>28</v>
      </c>
      <c r="K167" s="55">
        <f t="shared" si="3"/>
        <v>444.56159999999994</v>
      </c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174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s="12" customFormat="1" ht="15.75" customHeight="1" outlineLevel="2">
      <c r="A168" s="139">
        <v>20</v>
      </c>
      <c r="B168" s="41" t="s">
        <v>377</v>
      </c>
      <c r="C168" s="39" t="s">
        <v>118</v>
      </c>
      <c r="D168" s="27" t="s">
        <v>97</v>
      </c>
      <c r="E168" s="37"/>
      <c r="F168" s="45" t="s">
        <v>16</v>
      </c>
      <c r="G168" s="38" t="s">
        <v>527</v>
      </c>
      <c r="H168" s="27">
        <v>7.311</v>
      </c>
      <c r="I168" s="45">
        <v>1.2</v>
      </c>
      <c r="J168" s="55">
        <v>28</v>
      </c>
      <c r="K168" s="55">
        <f t="shared" si="3"/>
        <v>245.64959999999996</v>
      </c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174">
        <f>(AH168+24.57)</f>
        <v>24.57</v>
      </c>
      <c r="AJ168" s="55"/>
      <c r="AK168" s="55"/>
      <c r="AL168" s="55"/>
      <c r="AM168" s="55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s="12" customFormat="1" ht="15.75" customHeight="1" outlineLevel="2">
      <c r="A169" s="139">
        <v>21</v>
      </c>
      <c r="B169" s="117" t="s">
        <v>377</v>
      </c>
      <c r="C169" s="66" t="s">
        <v>123</v>
      </c>
      <c r="D169" s="116" t="s">
        <v>30</v>
      </c>
      <c r="E169" s="144" t="s">
        <v>19</v>
      </c>
      <c r="F169" s="141" t="s">
        <v>16</v>
      </c>
      <c r="G169" s="230" t="s">
        <v>91</v>
      </c>
      <c r="H169" s="143">
        <v>8.542</v>
      </c>
      <c r="I169" s="45">
        <v>1.2</v>
      </c>
      <c r="J169" s="55">
        <v>28</v>
      </c>
      <c r="K169" s="55">
        <f t="shared" si="3"/>
        <v>287.0112</v>
      </c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174">
        <f>(AH169+28.7)</f>
        <v>28.7</v>
      </c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s="12" customFormat="1" ht="15.75" customHeight="1" outlineLevel="2">
      <c r="A170" s="139">
        <v>22</v>
      </c>
      <c r="B170" s="117" t="s">
        <v>377</v>
      </c>
      <c r="C170" s="69" t="s">
        <v>124</v>
      </c>
      <c r="D170" s="104" t="s">
        <v>106</v>
      </c>
      <c r="E170" s="144" t="s">
        <v>19</v>
      </c>
      <c r="F170" s="141" t="s">
        <v>16</v>
      </c>
      <c r="G170" s="230" t="s">
        <v>91</v>
      </c>
      <c r="H170" s="24">
        <v>17.924</v>
      </c>
      <c r="I170" s="45">
        <v>1.2</v>
      </c>
      <c r="J170" s="55">
        <v>28</v>
      </c>
      <c r="K170" s="55">
        <f t="shared" si="3"/>
        <v>602.2463999999999</v>
      </c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174">
        <f>(AH170+60.23)</f>
        <v>60.23</v>
      </c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s="12" customFormat="1" ht="15.75" customHeight="1" outlineLevel="2">
      <c r="A171" s="139">
        <v>23</v>
      </c>
      <c r="B171" s="108" t="s">
        <v>377</v>
      </c>
      <c r="C171" s="39" t="s">
        <v>125</v>
      </c>
      <c r="D171" s="118" t="s">
        <v>92</v>
      </c>
      <c r="E171" s="37"/>
      <c r="F171" s="142" t="s">
        <v>11</v>
      </c>
      <c r="G171" s="103" t="s">
        <v>527</v>
      </c>
      <c r="H171" s="27">
        <v>1.516</v>
      </c>
      <c r="I171" s="45">
        <v>1.2</v>
      </c>
      <c r="J171" s="55">
        <v>28</v>
      </c>
      <c r="K171" s="55">
        <f t="shared" si="3"/>
        <v>50.937599999999996</v>
      </c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18"/>
      <c r="AG171" s="18"/>
      <c r="AH171" s="18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s="12" customFormat="1" ht="15.75" customHeight="1" outlineLevel="2">
      <c r="A172" s="139">
        <v>24</v>
      </c>
      <c r="B172" s="117" t="s">
        <v>377</v>
      </c>
      <c r="C172" s="66" t="s">
        <v>116</v>
      </c>
      <c r="D172" s="116" t="s">
        <v>22</v>
      </c>
      <c r="E172" s="144" t="s">
        <v>23</v>
      </c>
      <c r="F172" s="35" t="s">
        <v>40</v>
      </c>
      <c r="G172" s="103" t="s">
        <v>28</v>
      </c>
      <c r="H172" s="24">
        <v>4.045</v>
      </c>
      <c r="I172" s="132">
        <v>0.7</v>
      </c>
      <c r="J172" s="55">
        <v>28</v>
      </c>
      <c r="K172" s="55">
        <f t="shared" si="3"/>
        <v>79.282</v>
      </c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174">
        <f aca="true" t="shared" si="17" ref="AI172:AZ172">(AH172+7.93)</f>
        <v>7.93</v>
      </c>
      <c r="AJ172" s="55">
        <f t="shared" si="17"/>
        <v>15.86</v>
      </c>
      <c r="AK172" s="55">
        <f t="shared" si="17"/>
        <v>23.79</v>
      </c>
      <c r="AL172" s="55">
        <f t="shared" si="17"/>
        <v>31.72</v>
      </c>
      <c r="AM172" s="55">
        <f t="shared" si="17"/>
        <v>39.65</v>
      </c>
      <c r="AN172" s="55">
        <f t="shared" si="17"/>
        <v>47.58</v>
      </c>
      <c r="AO172" s="55">
        <f t="shared" si="17"/>
        <v>55.51</v>
      </c>
      <c r="AP172" s="55">
        <f t="shared" si="17"/>
        <v>63.44</v>
      </c>
      <c r="AQ172" s="55">
        <f t="shared" si="17"/>
        <v>71.37</v>
      </c>
      <c r="AR172" s="55">
        <f t="shared" si="17"/>
        <v>79.30000000000001</v>
      </c>
      <c r="AS172" s="55">
        <f t="shared" si="17"/>
        <v>87.23000000000002</v>
      </c>
      <c r="AT172" s="55">
        <f t="shared" si="17"/>
        <v>95.16000000000003</v>
      </c>
      <c r="AU172" s="55">
        <f t="shared" si="17"/>
        <v>103.09000000000003</v>
      </c>
      <c r="AV172" s="55">
        <f t="shared" si="17"/>
        <v>111.02000000000004</v>
      </c>
      <c r="AW172" s="55">
        <f t="shared" si="17"/>
        <v>118.95000000000005</v>
      </c>
      <c r="AX172" s="55">
        <f t="shared" si="17"/>
        <v>126.88000000000005</v>
      </c>
      <c r="AY172" s="55">
        <f t="shared" si="17"/>
        <v>134.81000000000006</v>
      </c>
      <c r="AZ172" s="55">
        <f t="shared" si="17"/>
        <v>142.74000000000007</v>
      </c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s="12" customFormat="1" ht="15.75" customHeight="1" outlineLevel="2">
      <c r="A173" s="139">
        <v>25</v>
      </c>
      <c r="B173" s="117" t="s">
        <v>377</v>
      </c>
      <c r="C173" s="39" t="s">
        <v>322</v>
      </c>
      <c r="D173" s="104" t="s">
        <v>342</v>
      </c>
      <c r="E173" s="37" t="s">
        <v>40</v>
      </c>
      <c r="F173" s="35" t="s">
        <v>40</v>
      </c>
      <c r="G173" s="103" t="s">
        <v>28</v>
      </c>
      <c r="H173" s="39">
        <v>1.199</v>
      </c>
      <c r="I173" s="132">
        <v>0.7</v>
      </c>
      <c r="J173" s="55">
        <v>28</v>
      </c>
      <c r="K173" s="55">
        <f t="shared" si="3"/>
        <v>23.500400000000003</v>
      </c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174">
        <f aca="true" t="shared" si="18" ref="AI173:AY173">(AH173+2.35)</f>
        <v>2.35</v>
      </c>
      <c r="AJ173" s="55">
        <f t="shared" si="18"/>
        <v>4.7</v>
      </c>
      <c r="AK173" s="55">
        <f t="shared" si="18"/>
        <v>7.050000000000001</v>
      </c>
      <c r="AL173" s="55">
        <f t="shared" si="18"/>
        <v>9.4</v>
      </c>
      <c r="AM173" s="55">
        <f t="shared" si="18"/>
        <v>11.75</v>
      </c>
      <c r="AN173" s="55">
        <f t="shared" si="18"/>
        <v>14.1</v>
      </c>
      <c r="AO173" s="55">
        <f t="shared" si="18"/>
        <v>16.45</v>
      </c>
      <c r="AP173" s="55">
        <f t="shared" si="18"/>
        <v>18.8</v>
      </c>
      <c r="AQ173" s="55">
        <f t="shared" si="18"/>
        <v>21.150000000000002</v>
      </c>
      <c r="AR173" s="55">
        <f t="shared" si="18"/>
        <v>23.500000000000004</v>
      </c>
      <c r="AS173" s="55">
        <f t="shared" si="18"/>
        <v>25.850000000000005</v>
      </c>
      <c r="AT173" s="55">
        <f t="shared" si="18"/>
        <v>28.200000000000006</v>
      </c>
      <c r="AU173" s="55">
        <f t="shared" si="18"/>
        <v>30.550000000000008</v>
      </c>
      <c r="AV173" s="55">
        <f t="shared" si="18"/>
        <v>32.900000000000006</v>
      </c>
      <c r="AW173" s="55">
        <f t="shared" si="18"/>
        <v>35.25000000000001</v>
      </c>
      <c r="AX173" s="55">
        <f t="shared" si="18"/>
        <v>37.60000000000001</v>
      </c>
      <c r="AY173" s="55">
        <f t="shared" si="18"/>
        <v>39.95000000000001</v>
      </c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53" s="59" customFormat="1" ht="15.75" customHeight="1" outlineLevel="2">
      <c r="A174" s="139">
        <v>26</v>
      </c>
      <c r="B174" s="117" t="s">
        <v>377</v>
      </c>
      <c r="C174" s="39" t="s">
        <v>548</v>
      </c>
      <c r="D174" s="116" t="s">
        <v>22</v>
      </c>
      <c r="E174" s="37"/>
      <c r="F174" s="35" t="s">
        <v>40</v>
      </c>
      <c r="G174" s="103" t="s">
        <v>28</v>
      </c>
      <c r="H174" s="78">
        <v>7.96</v>
      </c>
      <c r="I174" s="132">
        <v>0.7</v>
      </c>
      <c r="J174" s="55">
        <v>28</v>
      </c>
      <c r="K174" s="55">
        <f t="shared" si="3"/>
        <v>156.016</v>
      </c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174">
        <f aca="true" t="shared" si="19" ref="AI174:BA174">(AH174+15.6)</f>
        <v>15.6</v>
      </c>
      <c r="AJ174" s="55">
        <f t="shared" si="19"/>
        <v>31.2</v>
      </c>
      <c r="AK174" s="55">
        <f t="shared" si="19"/>
        <v>46.8</v>
      </c>
      <c r="AL174" s="55">
        <f t="shared" si="19"/>
        <v>62.4</v>
      </c>
      <c r="AM174" s="55">
        <f t="shared" si="19"/>
        <v>78</v>
      </c>
      <c r="AN174" s="55">
        <f t="shared" si="19"/>
        <v>93.6</v>
      </c>
      <c r="AO174" s="55">
        <f t="shared" si="19"/>
        <v>109.19999999999999</v>
      </c>
      <c r="AP174" s="55">
        <f t="shared" si="19"/>
        <v>124.79999999999998</v>
      </c>
      <c r="AQ174" s="55">
        <f t="shared" si="19"/>
        <v>140.39999999999998</v>
      </c>
      <c r="AR174" s="55">
        <f t="shared" si="19"/>
        <v>155.99999999999997</v>
      </c>
      <c r="AS174" s="55">
        <f t="shared" si="19"/>
        <v>171.59999999999997</v>
      </c>
      <c r="AT174" s="55">
        <f t="shared" si="19"/>
        <v>187.19999999999996</v>
      </c>
      <c r="AU174" s="55">
        <f t="shared" si="19"/>
        <v>202.79999999999995</v>
      </c>
      <c r="AV174" s="55">
        <f t="shared" si="19"/>
        <v>218.39999999999995</v>
      </c>
      <c r="AW174" s="55">
        <f t="shared" si="19"/>
        <v>233.99999999999994</v>
      </c>
      <c r="AX174" s="55">
        <f t="shared" si="19"/>
        <v>249.59999999999994</v>
      </c>
      <c r="AY174" s="55">
        <f t="shared" si="19"/>
        <v>265.19999999999993</v>
      </c>
      <c r="AZ174" s="55">
        <f t="shared" si="19"/>
        <v>280.79999999999995</v>
      </c>
      <c r="BA174" s="55">
        <f t="shared" si="19"/>
        <v>296.4</v>
      </c>
    </row>
    <row r="175" spans="1:34" s="59" customFormat="1" ht="15.75" customHeight="1" outlineLevel="2">
      <c r="A175" s="139">
        <v>27</v>
      </c>
      <c r="B175" s="117" t="s">
        <v>377</v>
      </c>
      <c r="C175" s="39" t="s">
        <v>549</v>
      </c>
      <c r="D175" s="104" t="s">
        <v>550</v>
      </c>
      <c r="E175" s="37"/>
      <c r="F175" s="141" t="s">
        <v>16</v>
      </c>
      <c r="G175" s="126" t="s">
        <v>33</v>
      </c>
      <c r="H175" s="39">
        <v>10.062</v>
      </c>
      <c r="I175" s="45">
        <v>1.2</v>
      </c>
      <c r="J175" s="55">
        <v>28</v>
      </c>
      <c r="K175" s="55">
        <f t="shared" si="3"/>
        <v>338.0832</v>
      </c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</row>
    <row r="176" spans="1:53" s="59" customFormat="1" ht="15.75" customHeight="1" outlineLevel="2">
      <c r="A176" s="139">
        <v>28</v>
      </c>
      <c r="B176" s="117" t="s">
        <v>377</v>
      </c>
      <c r="C176" s="39" t="s">
        <v>553</v>
      </c>
      <c r="D176" s="104" t="s">
        <v>551</v>
      </c>
      <c r="E176" s="37"/>
      <c r="F176" s="142" t="s">
        <v>18</v>
      </c>
      <c r="G176" s="126" t="s">
        <v>33</v>
      </c>
      <c r="H176" s="39">
        <v>7.456</v>
      </c>
      <c r="I176" s="132">
        <v>0.7</v>
      </c>
      <c r="J176" s="55">
        <v>28</v>
      </c>
      <c r="K176" s="55">
        <f t="shared" si="3"/>
        <v>146.1376</v>
      </c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174">
        <f aca="true" t="shared" si="20" ref="AI176:BA176">(AH176+14.61)</f>
        <v>14.61</v>
      </c>
      <c r="AJ176" s="55">
        <f t="shared" si="20"/>
        <v>29.22</v>
      </c>
      <c r="AK176" s="55">
        <f t="shared" si="20"/>
        <v>43.83</v>
      </c>
      <c r="AL176" s="55">
        <f t="shared" si="20"/>
        <v>58.44</v>
      </c>
      <c r="AM176" s="55">
        <f t="shared" si="20"/>
        <v>73.05</v>
      </c>
      <c r="AN176" s="55">
        <f t="shared" si="20"/>
        <v>87.66</v>
      </c>
      <c r="AO176" s="55">
        <f t="shared" si="20"/>
        <v>102.27</v>
      </c>
      <c r="AP176" s="55">
        <f t="shared" si="20"/>
        <v>116.88</v>
      </c>
      <c r="AQ176" s="55">
        <f t="shared" si="20"/>
        <v>131.49</v>
      </c>
      <c r="AR176" s="55">
        <f t="shared" si="20"/>
        <v>146.10000000000002</v>
      </c>
      <c r="AS176" s="55">
        <f t="shared" si="20"/>
        <v>160.71000000000004</v>
      </c>
      <c r="AT176" s="55">
        <f t="shared" si="20"/>
        <v>175.32000000000005</v>
      </c>
      <c r="AU176" s="55">
        <f t="shared" si="20"/>
        <v>189.93000000000006</v>
      </c>
      <c r="AV176" s="55">
        <f t="shared" si="20"/>
        <v>204.54000000000008</v>
      </c>
      <c r="AW176" s="55">
        <f t="shared" si="20"/>
        <v>219.1500000000001</v>
      </c>
      <c r="AX176" s="55">
        <f t="shared" si="20"/>
        <v>233.7600000000001</v>
      </c>
      <c r="AY176" s="55">
        <f t="shared" si="20"/>
        <v>248.37000000000012</v>
      </c>
      <c r="AZ176" s="55">
        <f t="shared" si="20"/>
        <v>262.98000000000013</v>
      </c>
      <c r="BA176" s="55">
        <f t="shared" si="20"/>
        <v>277.59000000000015</v>
      </c>
    </row>
    <row r="177" spans="1:52" s="59" customFormat="1" ht="15.75" customHeight="1" outlineLevel="2">
      <c r="A177" s="139">
        <v>29</v>
      </c>
      <c r="B177" s="117" t="s">
        <v>377</v>
      </c>
      <c r="C177" s="39" t="s">
        <v>554</v>
      </c>
      <c r="D177" s="104" t="s">
        <v>551</v>
      </c>
      <c r="E177" s="37"/>
      <c r="F177" s="142" t="s">
        <v>18</v>
      </c>
      <c r="G177" s="103" t="s">
        <v>28</v>
      </c>
      <c r="H177" s="39">
        <v>4.921</v>
      </c>
      <c r="I177" s="132">
        <v>0.7</v>
      </c>
      <c r="J177" s="55">
        <v>28</v>
      </c>
      <c r="K177" s="55">
        <f t="shared" si="3"/>
        <v>96.4516</v>
      </c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174">
        <f aca="true" t="shared" si="21" ref="AI177:AZ177">(AH177+9.65)</f>
        <v>9.65</v>
      </c>
      <c r="AJ177" s="55">
        <f t="shared" si="21"/>
        <v>19.3</v>
      </c>
      <c r="AK177" s="55">
        <f t="shared" si="21"/>
        <v>28.950000000000003</v>
      </c>
      <c r="AL177" s="55">
        <f t="shared" si="21"/>
        <v>38.6</v>
      </c>
      <c r="AM177" s="55">
        <f t="shared" si="21"/>
        <v>48.25</v>
      </c>
      <c r="AN177" s="55">
        <f t="shared" si="21"/>
        <v>57.9</v>
      </c>
      <c r="AO177" s="55">
        <f t="shared" si="21"/>
        <v>67.55</v>
      </c>
      <c r="AP177" s="55">
        <f t="shared" si="21"/>
        <v>77.2</v>
      </c>
      <c r="AQ177" s="55">
        <f t="shared" si="21"/>
        <v>86.85000000000001</v>
      </c>
      <c r="AR177" s="55">
        <f t="shared" si="21"/>
        <v>96.50000000000001</v>
      </c>
      <c r="AS177" s="55">
        <f t="shared" si="21"/>
        <v>106.15000000000002</v>
      </c>
      <c r="AT177" s="55">
        <f t="shared" si="21"/>
        <v>115.80000000000003</v>
      </c>
      <c r="AU177" s="55">
        <f t="shared" si="21"/>
        <v>125.45000000000003</v>
      </c>
      <c r="AV177" s="55">
        <f t="shared" si="21"/>
        <v>135.10000000000002</v>
      </c>
      <c r="AW177" s="55">
        <f t="shared" si="21"/>
        <v>144.75000000000003</v>
      </c>
      <c r="AX177" s="55">
        <f t="shared" si="21"/>
        <v>154.40000000000003</v>
      </c>
      <c r="AY177" s="55">
        <f t="shared" si="21"/>
        <v>164.05000000000004</v>
      </c>
      <c r="AZ177" s="55">
        <f t="shared" si="21"/>
        <v>173.70000000000005</v>
      </c>
    </row>
    <row r="178" spans="1:53" s="59" customFormat="1" ht="15.75" customHeight="1" outlineLevel="2">
      <c r="A178" s="139">
        <v>30</v>
      </c>
      <c r="B178" s="117" t="s">
        <v>377</v>
      </c>
      <c r="C178" s="39" t="s">
        <v>555</v>
      </c>
      <c r="D178" s="104" t="s">
        <v>551</v>
      </c>
      <c r="E178" s="37"/>
      <c r="F178" s="142" t="s">
        <v>18</v>
      </c>
      <c r="G178" s="103" t="s">
        <v>28</v>
      </c>
      <c r="H178" s="39">
        <v>8.362</v>
      </c>
      <c r="I178" s="132">
        <v>0.7</v>
      </c>
      <c r="J178" s="55">
        <v>28</v>
      </c>
      <c r="K178" s="55">
        <f t="shared" si="3"/>
        <v>163.8952</v>
      </c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174">
        <f aca="true" t="shared" si="22" ref="AI178:BA178">(AH178+16.39)</f>
        <v>16.39</v>
      </c>
      <c r="AJ178" s="55">
        <f t="shared" si="22"/>
        <v>32.78</v>
      </c>
      <c r="AK178" s="55">
        <f t="shared" si="22"/>
        <v>49.17</v>
      </c>
      <c r="AL178" s="55">
        <f t="shared" si="22"/>
        <v>65.56</v>
      </c>
      <c r="AM178" s="55">
        <f t="shared" si="22"/>
        <v>81.95</v>
      </c>
      <c r="AN178" s="55">
        <f t="shared" si="22"/>
        <v>98.34</v>
      </c>
      <c r="AO178" s="55">
        <f t="shared" si="22"/>
        <v>114.73</v>
      </c>
      <c r="AP178" s="55">
        <f t="shared" si="22"/>
        <v>131.12</v>
      </c>
      <c r="AQ178" s="55">
        <f t="shared" si="22"/>
        <v>147.51</v>
      </c>
      <c r="AR178" s="55">
        <f t="shared" si="22"/>
        <v>163.89999999999998</v>
      </c>
      <c r="AS178" s="55">
        <f t="shared" si="22"/>
        <v>180.28999999999996</v>
      </c>
      <c r="AT178" s="55">
        <f t="shared" si="22"/>
        <v>196.67999999999995</v>
      </c>
      <c r="AU178" s="55">
        <f t="shared" si="22"/>
        <v>213.06999999999994</v>
      </c>
      <c r="AV178" s="55">
        <f t="shared" si="22"/>
        <v>229.45999999999992</v>
      </c>
      <c r="AW178" s="55">
        <f t="shared" si="22"/>
        <v>245.8499999999999</v>
      </c>
      <c r="AX178" s="55">
        <f t="shared" si="22"/>
        <v>262.2399999999999</v>
      </c>
      <c r="AY178" s="55">
        <f t="shared" si="22"/>
        <v>278.6299999999999</v>
      </c>
      <c r="AZ178" s="55">
        <f t="shared" si="22"/>
        <v>295.01999999999987</v>
      </c>
      <c r="BA178" s="55">
        <f t="shared" si="22"/>
        <v>311.40999999999985</v>
      </c>
    </row>
    <row r="179" spans="1:34" s="59" customFormat="1" ht="15.75" customHeight="1" outlineLevel="2">
      <c r="A179" s="139">
        <v>31</v>
      </c>
      <c r="B179" s="117" t="s">
        <v>377</v>
      </c>
      <c r="C179" s="39" t="s">
        <v>556</v>
      </c>
      <c r="D179" s="104" t="s">
        <v>552</v>
      </c>
      <c r="E179" s="37"/>
      <c r="F179" s="142" t="s">
        <v>11</v>
      </c>
      <c r="G179" s="126" t="s">
        <v>33</v>
      </c>
      <c r="H179" s="39">
        <v>4.999</v>
      </c>
      <c r="I179" s="45">
        <v>1.2</v>
      </c>
      <c r="J179" s="55">
        <v>28</v>
      </c>
      <c r="K179" s="55">
        <f t="shared" si="3"/>
        <v>167.96639999999996</v>
      </c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18"/>
    </row>
    <row r="180" spans="1:41" s="59" customFormat="1" ht="15.75" customHeight="1" outlineLevel="2">
      <c r="A180" s="139">
        <v>32</v>
      </c>
      <c r="B180" s="117" t="s">
        <v>377</v>
      </c>
      <c r="C180" s="39" t="s">
        <v>557</v>
      </c>
      <c r="D180" s="104" t="s">
        <v>30</v>
      </c>
      <c r="E180" s="37"/>
      <c r="F180" s="142" t="s">
        <v>18</v>
      </c>
      <c r="G180" s="126" t="s">
        <v>33</v>
      </c>
      <c r="H180" s="39">
        <v>19.939</v>
      </c>
      <c r="I180" s="45">
        <v>1.2</v>
      </c>
      <c r="J180" s="55">
        <v>28</v>
      </c>
      <c r="K180" s="55">
        <f t="shared" si="3"/>
        <v>669.9504</v>
      </c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174">
        <f>(AH180+67)</f>
        <v>67</v>
      </c>
      <c r="AJ180" s="55"/>
      <c r="AK180" s="55"/>
      <c r="AL180" s="55"/>
      <c r="AM180" s="55"/>
      <c r="AN180" s="55"/>
      <c r="AO180" s="55"/>
    </row>
    <row r="181" spans="1:34" s="59" customFormat="1" ht="15.75" customHeight="1" outlineLevel="2">
      <c r="A181" s="139">
        <v>33</v>
      </c>
      <c r="B181" s="117" t="s">
        <v>377</v>
      </c>
      <c r="C181" s="39" t="s">
        <v>558</v>
      </c>
      <c r="D181" s="104" t="s">
        <v>30</v>
      </c>
      <c r="E181" s="37"/>
      <c r="F181" s="141" t="s">
        <v>16</v>
      </c>
      <c r="G181" s="126" t="s">
        <v>33</v>
      </c>
      <c r="H181" s="39">
        <v>2.546</v>
      </c>
      <c r="I181" s="45">
        <v>1.2</v>
      </c>
      <c r="J181" s="55">
        <v>28</v>
      </c>
      <c r="K181" s="55">
        <f t="shared" si="3"/>
        <v>85.5456</v>
      </c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</row>
    <row r="182" spans="1:34" s="59" customFormat="1" ht="15.75" customHeight="1" outlineLevel="2">
      <c r="A182" s="139">
        <v>34</v>
      </c>
      <c r="B182" s="117" t="s">
        <v>377</v>
      </c>
      <c r="C182" s="39" t="s">
        <v>559</v>
      </c>
      <c r="D182" s="104" t="s">
        <v>102</v>
      </c>
      <c r="E182" s="37"/>
      <c r="F182" s="142" t="s">
        <v>18</v>
      </c>
      <c r="G182" s="126" t="s">
        <v>33</v>
      </c>
      <c r="H182" s="39">
        <v>25.999</v>
      </c>
      <c r="I182" s="45">
        <v>1.2</v>
      </c>
      <c r="J182" s="55">
        <v>28</v>
      </c>
      <c r="K182" s="55">
        <f t="shared" si="3"/>
        <v>873.5663999999999</v>
      </c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18"/>
      <c r="AH182" s="18"/>
    </row>
    <row r="183" spans="1:34" s="59" customFormat="1" ht="15.75" customHeight="1" outlineLevel="1">
      <c r="A183" s="139"/>
      <c r="B183" s="125" t="s">
        <v>590</v>
      </c>
      <c r="C183" s="39"/>
      <c r="D183" s="104"/>
      <c r="E183" s="37"/>
      <c r="F183" s="49"/>
      <c r="G183" s="126"/>
      <c r="H183" s="89">
        <f>SUBTOTAL(9,H149:H182)</f>
        <v>197.52099999999996</v>
      </c>
      <c r="I183" s="49"/>
      <c r="J183" s="54"/>
      <c r="K183" s="55"/>
      <c r="L183" s="62"/>
      <c r="M183" s="62"/>
      <c r="N183" s="97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</row>
    <row r="184" spans="1:70" s="12" customFormat="1" ht="15.75" customHeight="1" outlineLevel="1">
      <c r="A184" s="139"/>
      <c r="B184" s="43"/>
      <c r="C184" s="39"/>
      <c r="D184" s="27"/>
      <c r="E184" s="37"/>
      <c r="F184" s="49"/>
      <c r="G184" s="38"/>
      <c r="H184" s="89"/>
      <c r="I184" s="49"/>
      <c r="J184" s="54"/>
      <c r="K184" s="55"/>
      <c r="L184" s="62"/>
      <c r="M184" s="62"/>
      <c r="N184" s="97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s="3" customFormat="1" ht="15.75" customHeight="1" outlineLevel="1">
      <c r="A185" s="139"/>
      <c r="B185" s="141"/>
      <c r="C185" s="67"/>
      <c r="D185" s="27"/>
      <c r="E185" s="28"/>
      <c r="F185" s="142"/>
      <c r="G185" s="142"/>
      <c r="H185" s="80"/>
      <c r="I185" s="45"/>
      <c r="J185" s="54"/>
      <c r="K185" s="55"/>
      <c r="L185" s="62"/>
      <c r="M185" s="62"/>
      <c r="N185" s="97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s="3" customFormat="1" ht="15.75" customHeight="1" outlineLevel="1">
      <c r="A186" s="139"/>
      <c r="B186" s="141"/>
      <c r="C186" s="67"/>
      <c r="D186" s="27"/>
      <c r="E186" s="28"/>
      <c r="F186" s="142"/>
      <c r="G186" s="142"/>
      <c r="H186" s="80"/>
      <c r="I186" s="45"/>
      <c r="J186" s="54"/>
      <c r="K186" s="55"/>
      <c r="L186" s="62"/>
      <c r="M186" s="62"/>
      <c r="N186" s="9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s="12" customFormat="1" ht="15.75" customHeight="1" outlineLevel="2">
      <c r="A187" s="27">
        <v>1</v>
      </c>
      <c r="B187" s="141" t="s">
        <v>376</v>
      </c>
      <c r="C187" s="67" t="s">
        <v>129</v>
      </c>
      <c r="D187" s="27" t="s">
        <v>93</v>
      </c>
      <c r="E187" s="144" t="s">
        <v>32</v>
      </c>
      <c r="F187" s="44" t="s">
        <v>20</v>
      </c>
      <c r="G187" s="16" t="s">
        <v>94</v>
      </c>
      <c r="H187" s="80">
        <v>14.382</v>
      </c>
      <c r="I187" s="45">
        <v>1.2</v>
      </c>
      <c r="J187" s="55">
        <v>35</v>
      </c>
      <c r="K187" s="55">
        <f t="shared" si="3"/>
        <v>604.044</v>
      </c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18"/>
      <c r="AA187" s="18"/>
      <c r="AB187" s="18"/>
      <c r="AC187" s="18"/>
      <c r="AD187" s="18"/>
      <c r="AE187" s="18"/>
      <c r="AF187" s="18"/>
      <c r="AG187" s="18"/>
      <c r="AH187" s="18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44" s="2" customFormat="1" ht="15.75" customHeight="1" outlineLevel="2">
      <c r="A188" s="27">
        <v>2</v>
      </c>
      <c r="B188" s="141" t="s">
        <v>376</v>
      </c>
      <c r="C188" s="67" t="s">
        <v>128</v>
      </c>
      <c r="D188" s="27" t="s">
        <v>93</v>
      </c>
      <c r="E188" s="144" t="s">
        <v>56</v>
      </c>
      <c r="F188" s="44" t="s">
        <v>35</v>
      </c>
      <c r="G188" s="16" t="s">
        <v>94</v>
      </c>
      <c r="H188" s="80">
        <v>4.687</v>
      </c>
      <c r="I188" s="132">
        <v>0.7</v>
      </c>
      <c r="J188" s="55">
        <v>35</v>
      </c>
      <c r="K188" s="55">
        <f t="shared" si="3"/>
        <v>114.83149999999999</v>
      </c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174">
        <f aca="true" t="shared" si="23" ref="AI188:AR188">(AH188+11.48)</f>
        <v>11.48</v>
      </c>
      <c r="AJ188" s="55">
        <f t="shared" si="23"/>
        <v>22.96</v>
      </c>
      <c r="AK188" s="55">
        <f t="shared" si="23"/>
        <v>34.44</v>
      </c>
      <c r="AL188" s="55">
        <f t="shared" si="23"/>
        <v>45.92</v>
      </c>
      <c r="AM188" s="55">
        <f t="shared" si="23"/>
        <v>57.400000000000006</v>
      </c>
      <c r="AN188" s="55">
        <f t="shared" si="23"/>
        <v>68.88000000000001</v>
      </c>
      <c r="AO188" s="55">
        <f t="shared" si="23"/>
        <v>80.36000000000001</v>
      </c>
      <c r="AP188" s="55">
        <f t="shared" si="23"/>
        <v>91.84000000000002</v>
      </c>
      <c r="AQ188" s="55">
        <f t="shared" si="23"/>
        <v>103.32000000000002</v>
      </c>
      <c r="AR188" s="55">
        <f t="shared" si="23"/>
        <v>114.80000000000003</v>
      </c>
    </row>
    <row r="189" spans="1:70" s="12" customFormat="1" ht="15.75" customHeight="1" outlineLevel="2">
      <c r="A189" s="27">
        <v>3</v>
      </c>
      <c r="B189" s="141" t="s">
        <v>376</v>
      </c>
      <c r="C189" s="65" t="s">
        <v>425</v>
      </c>
      <c r="D189" s="39" t="s">
        <v>37</v>
      </c>
      <c r="E189" s="37" t="s">
        <v>16</v>
      </c>
      <c r="F189" s="49" t="s">
        <v>16</v>
      </c>
      <c r="G189" s="45" t="s">
        <v>25</v>
      </c>
      <c r="H189" s="39">
        <v>2.951</v>
      </c>
      <c r="I189" s="49">
        <v>1.2</v>
      </c>
      <c r="J189" s="55">
        <v>27</v>
      </c>
      <c r="K189" s="55">
        <f t="shared" si="3"/>
        <v>95.6124</v>
      </c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s="12" customFormat="1" ht="15.75" customHeight="1" outlineLevel="2">
      <c r="A190" s="27">
        <v>4</v>
      </c>
      <c r="B190" s="141" t="s">
        <v>376</v>
      </c>
      <c r="C190" s="39" t="s">
        <v>343</v>
      </c>
      <c r="D190" s="39" t="s">
        <v>363</v>
      </c>
      <c r="E190" s="37" t="s">
        <v>40</v>
      </c>
      <c r="F190" s="49" t="s">
        <v>40</v>
      </c>
      <c r="G190" s="38" t="s">
        <v>28</v>
      </c>
      <c r="H190" s="39">
        <v>2.521</v>
      </c>
      <c r="I190" s="132">
        <v>0.7</v>
      </c>
      <c r="J190" s="55">
        <v>35</v>
      </c>
      <c r="K190" s="55">
        <f aca="true" t="shared" si="24" ref="K190:K235">(H190*I190*J190)</f>
        <v>61.76449999999999</v>
      </c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174">
        <f aca="true" t="shared" si="25" ref="AI190:AR190">(AH190+6.18)</f>
        <v>6.18</v>
      </c>
      <c r="AJ190" s="55">
        <f>(AI190+6.18)</f>
        <v>12.36</v>
      </c>
      <c r="AK190" s="55">
        <f t="shared" si="25"/>
        <v>18.54</v>
      </c>
      <c r="AL190" s="55">
        <f t="shared" si="25"/>
        <v>24.72</v>
      </c>
      <c r="AM190" s="55">
        <f t="shared" si="25"/>
        <v>30.9</v>
      </c>
      <c r="AN190" s="55">
        <f t="shared" si="25"/>
        <v>37.08</v>
      </c>
      <c r="AO190" s="55">
        <f t="shared" si="25"/>
        <v>43.26</v>
      </c>
      <c r="AP190" s="55">
        <f t="shared" si="25"/>
        <v>49.44</v>
      </c>
      <c r="AQ190" s="55">
        <f t="shared" si="25"/>
        <v>55.62</v>
      </c>
      <c r="AR190" s="55">
        <f t="shared" si="25"/>
        <v>61.8</v>
      </c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s="12" customFormat="1" ht="15.75" customHeight="1" outlineLevel="2">
      <c r="A191" s="27">
        <v>5</v>
      </c>
      <c r="B191" s="141" t="s">
        <v>376</v>
      </c>
      <c r="C191" s="143" t="s">
        <v>130</v>
      </c>
      <c r="D191" s="139" t="s">
        <v>37</v>
      </c>
      <c r="E191" s="144" t="s">
        <v>16</v>
      </c>
      <c r="F191" s="49" t="s">
        <v>16</v>
      </c>
      <c r="G191" s="44" t="s">
        <v>25</v>
      </c>
      <c r="H191" s="77">
        <v>3.485</v>
      </c>
      <c r="I191" s="49">
        <v>1.2</v>
      </c>
      <c r="J191" s="55">
        <v>27</v>
      </c>
      <c r="K191" s="55">
        <f t="shared" si="24"/>
        <v>112.91399999999999</v>
      </c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18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s="12" customFormat="1" ht="15.75" customHeight="1" outlineLevel="2">
      <c r="A192" s="27">
        <v>6</v>
      </c>
      <c r="B192" s="141" t="s">
        <v>376</v>
      </c>
      <c r="C192" s="39" t="s">
        <v>344</v>
      </c>
      <c r="D192" s="39" t="s">
        <v>364</v>
      </c>
      <c r="E192" s="37" t="s">
        <v>16</v>
      </c>
      <c r="F192" s="49" t="s">
        <v>16</v>
      </c>
      <c r="G192" s="15" t="s">
        <v>307</v>
      </c>
      <c r="H192" s="39">
        <v>1.118</v>
      </c>
      <c r="I192" s="49">
        <v>1.2</v>
      </c>
      <c r="J192" s="55">
        <v>35</v>
      </c>
      <c r="K192" s="55">
        <f t="shared" si="24"/>
        <v>46.956</v>
      </c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18"/>
      <c r="AB192" s="18"/>
      <c r="AC192" s="18"/>
      <c r="AD192" s="18"/>
      <c r="AE192" s="18"/>
      <c r="AF192" s="18"/>
      <c r="AG192" s="18"/>
      <c r="AH192" s="18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s="12" customFormat="1" ht="15.75" customHeight="1" outlineLevel="2">
      <c r="A193" s="27">
        <v>7</v>
      </c>
      <c r="B193" s="141" t="s">
        <v>376</v>
      </c>
      <c r="C193" s="39" t="s">
        <v>345</v>
      </c>
      <c r="D193" s="39" t="s">
        <v>364</v>
      </c>
      <c r="E193" s="37" t="s">
        <v>16</v>
      </c>
      <c r="F193" s="49" t="s">
        <v>16</v>
      </c>
      <c r="G193" s="15" t="s">
        <v>307</v>
      </c>
      <c r="H193" s="39">
        <v>2.422</v>
      </c>
      <c r="I193" s="49">
        <v>1.2</v>
      </c>
      <c r="J193" s="55">
        <v>35</v>
      </c>
      <c r="K193" s="55">
        <f t="shared" si="24"/>
        <v>101.724</v>
      </c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18"/>
      <c r="AC193" s="18"/>
      <c r="AD193" s="18"/>
      <c r="AE193" s="18"/>
      <c r="AF193" s="18"/>
      <c r="AG193" s="18"/>
      <c r="AH193" s="18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s="12" customFormat="1" ht="15.75" customHeight="1" outlineLevel="2">
      <c r="A194" s="27">
        <v>8</v>
      </c>
      <c r="B194" s="141" t="s">
        <v>376</v>
      </c>
      <c r="C194" s="39" t="s">
        <v>346</v>
      </c>
      <c r="D194" s="39" t="s">
        <v>364</v>
      </c>
      <c r="E194" s="37" t="s">
        <v>16</v>
      </c>
      <c r="F194" s="49" t="s">
        <v>16</v>
      </c>
      <c r="G194" s="15" t="s">
        <v>307</v>
      </c>
      <c r="H194" s="39">
        <v>1.98</v>
      </c>
      <c r="I194" s="49">
        <v>1.2</v>
      </c>
      <c r="J194" s="55">
        <v>35</v>
      </c>
      <c r="K194" s="55">
        <f t="shared" si="24"/>
        <v>83.16</v>
      </c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18"/>
      <c r="AB194" s="18"/>
      <c r="AC194" s="18"/>
      <c r="AD194" s="18"/>
      <c r="AE194" s="18"/>
      <c r="AF194" s="18"/>
      <c r="AG194" s="18"/>
      <c r="AH194" s="18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s="12" customFormat="1" ht="15.75" customHeight="1" outlineLevel="2">
      <c r="A195" s="27">
        <v>9</v>
      </c>
      <c r="B195" s="141" t="s">
        <v>376</v>
      </c>
      <c r="C195" s="39" t="s">
        <v>347</v>
      </c>
      <c r="D195" s="39" t="s">
        <v>364</v>
      </c>
      <c r="E195" s="37" t="s">
        <v>16</v>
      </c>
      <c r="F195" s="49" t="s">
        <v>16</v>
      </c>
      <c r="G195" s="15" t="s">
        <v>307</v>
      </c>
      <c r="H195" s="39">
        <v>1.783</v>
      </c>
      <c r="I195" s="49">
        <v>1.2</v>
      </c>
      <c r="J195" s="55">
        <v>35</v>
      </c>
      <c r="K195" s="55">
        <f t="shared" si="24"/>
        <v>74.886</v>
      </c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18"/>
      <c r="AB195" s="18"/>
      <c r="AC195" s="18"/>
      <c r="AD195" s="18"/>
      <c r="AE195" s="18"/>
      <c r="AF195" s="18"/>
      <c r="AG195" s="18"/>
      <c r="AH195" s="18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s="12" customFormat="1" ht="15.75" customHeight="1" outlineLevel="2">
      <c r="A196" s="27">
        <v>10</v>
      </c>
      <c r="B196" s="141" t="s">
        <v>376</v>
      </c>
      <c r="C196" s="39" t="s">
        <v>348</v>
      </c>
      <c r="D196" s="39" t="s">
        <v>39</v>
      </c>
      <c r="E196" s="37" t="s">
        <v>16</v>
      </c>
      <c r="F196" s="49" t="s">
        <v>16</v>
      </c>
      <c r="G196" s="38" t="s">
        <v>28</v>
      </c>
      <c r="H196" s="39">
        <v>2.247</v>
      </c>
      <c r="I196" s="49">
        <v>1.2</v>
      </c>
      <c r="J196" s="55">
        <v>35</v>
      </c>
      <c r="K196" s="55">
        <f t="shared" si="24"/>
        <v>94.374</v>
      </c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18"/>
      <c r="AC196" s="18"/>
      <c r="AD196" s="18"/>
      <c r="AE196" s="18"/>
      <c r="AF196" s="18"/>
      <c r="AG196" s="18"/>
      <c r="AH196" s="18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s="12" customFormat="1" ht="15.75" customHeight="1" outlineLevel="2">
      <c r="A197" s="27">
        <v>11</v>
      </c>
      <c r="B197" s="141" t="s">
        <v>376</v>
      </c>
      <c r="C197" s="39" t="s">
        <v>349</v>
      </c>
      <c r="D197" s="39" t="s">
        <v>39</v>
      </c>
      <c r="E197" s="37" t="s">
        <v>16</v>
      </c>
      <c r="F197" s="49" t="s">
        <v>16</v>
      </c>
      <c r="G197" s="15" t="s">
        <v>307</v>
      </c>
      <c r="H197" s="39">
        <v>1.357</v>
      </c>
      <c r="I197" s="49">
        <v>1.2</v>
      </c>
      <c r="J197" s="55">
        <v>35</v>
      </c>
      <c r="K197" s="55">
        <f t="shared" si="24"/>
        <v>56.99399999999999</v>
      </c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s="12" customFormat="1" ht="15.75" customHeight="1" outlineLevel="2">
      <c r="A198" s="27">
        <v>12</v>
      </c>
      <c r="B198" s="141" t="s">
        <v>376</v>
      </c>
      <c r="C198" s="39" t="s">
        <v>350</v>
      </c>
      <c r="D198" s="39" t="s">
        <v>39</v>
      </c>
      <c r="E198" s="37" t="s">
        <v>16</v>
      </c>
      <c r="F198" s="49" t="s">
        <v>16</v>
      </c>
      <c r="G198" s="15" t="s">
        <v>307</v>
      </c>
      <c r="H198" s="78">
        <v>3</v>
      </c>
      <c r="I198" s="49">
        <v>1.2</v>
      </c>
      <c r="J198" s="55">
        <v>35</v>
      </c>
      <c r="K198" s="55">
        <f t="shared" si="24"/>
        <v>125.99999999999999</v>
      </c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18"/>
      <c r="AB198" s="18"/>
      <c r="AC198" s="18"/>
      <c r="AD198" s="18"/>
      <c r="AE198" s="18"/>
      <c r="AF198" s="18"/>
      <c r="AG198" s="18"/>
      <c r="AH198" s="18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s="12" customFormat="1" ht="15.75" customHeight="1" outlineLevel="2">
      <c r="A199" s="27">
        <v>13</v>
      </c>
      <c r="B199" s="141" t="s">
        <v>376</v>
      </c>
      <c r="C199" s="39" t="s">
        <v>351</v>
      </c>
      <c r="D199" s="39" t="s">
        <v>39</v>
      </c>
      <c r="E199" s="37" t="s">
        <v>16</v>
      </c>
      <c r="F199" s="49" t="s">
        <v>16</v>
      </c>
      <c r="G199" s="15" t="s">
        <v>307</v>
      </c>
      <c r="H199" s="39">
        <v>2.883</v>
      </c>
      <c r="I199" s="49">
        <v>1.2</v>
      </c>
      <c r="J199" s="55">
        <v>35</v>
      </c>
      <c r="K199" s="55">
        <f t="shared" si="24"/>
        <v>121.086</v>
      </c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18"/>
      <c r="AB199" s="18"/>
      <c r="AC199" s="18"/>
      <c r="AD199" s="18"/>
      <c r="AE199" s="18"/>
      <c r="AF199" s="18"/>
      <c r="AG199" s="18"/>
      <c r="AH199" s="18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s="12" customFormat="1" ht="15.75" customHeight="1" outlineLevel="2">
      <c r="A200" s="27">
        <v>14</v>
      </c>
      <c r="B200" s="141" t="s">
        <v>376</v>
      </c>
      <c r="C200" s="39" t="s">
        <v>352</v>
      </c>
      <c r="D200" s="39" t="s">
        <v>39</v>
      </c>
      <c r="E200" s="37" t="s">
        <v>16</v>
      </c>
      <c r="F200" s="49" t="s">
        <v>16</v>
      </c>
      <c r="G200" s="15" t="s">
        <v>307</v>
      </c>
      <c r="H200" s="39">
        <v>1.017</v>
      </c>
      <c r="I200" s="49">
        <v>1.2</v>
      </c>
      <c r="J200" s="55">
        <v>35</v>
      </c>
      <c r="K200" s="55">
        <f t="shared" si="24"/>
        <v>42.714</v>
      </c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18"/>
      <c r="AB200" s="18"/>
      <c r="AC200" s="18"/>
      <c r="AD200" s="18"/>
      <c r="AE200" s="18"/>
      <c r="AF200" s="18"/>
      <c r="AG200" s="18"/>
      <c r="AH200" s="18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s="12" customFormat="1" ht="15.75" customHeight="1" outlineLevel="2">
      <c r="A201" s="27">
        <v>15</v>
      </c>
      <c r="B201" s="141" t="s">
        <v>376</v>
      </c>
      <c r="C201" s="39" t="s">
        <v>353</v>
      </c>
      <c r="D201" s="39" t="s">
        <v>39</v>
      </c>
      <c r="E201" s="37" t="s">
        <v>16</v>
      </c>
      <c r="F201" s="49" t="s">
        <v>16</v>
      </c>
      <c r="G201" s="15" t="s">
        <v>307</v>
      </c>
      <c r="H201" s="39">
        <v>2.749</v>
      </c>
      <c r="I201" s="49">
        <v>1.2</v>
      </c>
      <c r="J201" s="55">
        <v>35</v>
      </c>
      <c r="K201" s="55">
        <f t="shared" si="24"/>
        <v>115.458</v>
      </c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18"/>
      <c r="AD201" s="18"/>
      <c r="AE201" s="18"/>
      <c r="AF201" s="18"/>
      <c r="AG201" s="18"/>
      <c r="AH201" s="18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s="12" customFormat="1" ht="15.75" customHeight="1" outlineLevel="2">
      <c r="A202" s="27">
        <v>16</v>
      </c>
      <c r="B202" s="141" t="s">
        <v>376</v>
      </c>
      <c r="C202" s="39" t="s">
        <v>354</v>
      </c>
      <c r="D202" s="39" t="s">
        <v>39</v>
      </c>
      <c r="E202" s="37" t="s">
        <v>16</v>
      </c>
      <c r="F202" s="49" t="s">
        <v>16</v>
      </c>
      <c r="G202" s="15" t="s">
        <v>307</v>
      </c>
      <c r="H202" s="39">
        <v>1.528</v>
      </c>
      <c r="I202" s="49">
        <v>1.2</v>
      </c>
      <c r="J202" s="55">
        <v>35</v>
      </c>
      <c r="K202" s="55">
        <f t="shared" si="24"/>
        <v>64.176</v>
      </c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18"/>
      <c r="AA202" s="18"/>
      <c r="AB202" s="18"/>
      <c r="AC202" s="18"/>
      <c r="AD202" s="18"/>
      <c r="AE202" s="18"/>
      <c r="AF202" s="18"/>
      <c r="AG202" s="18"/>
      <c r="AH202" s="18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s="12" customFormat="1" ht="15.75" customHeight="1" outlineLevel="2">
      <c r="A203" s="27">
        <v>17</v>
      </c>
      <c r="B203" s="141" t="s">
        <v>376</v>
      </c>
      <c r="C203" s="24" t="s">
        <v>131</v>
      </c>
      <c r="D203" s="27" t="s">
        <v>39</v>
      </c>
      <c r="E203" s="28" t="s">
        <v>16</v>
      </c>
      <c r="F203" s="49" t="s">
        <v>16</v>
      </c>
      <c r="G203" s="15" t="s">
        <v>307</v>
      </c>
      <c r="H203" s="76">
        <v>5.709</v>
      </c>
      <c r="I203" s="49">
        <v>1.2</v>
      </c>
      <c r="J203" s="55">
        <v>35</v>
      </c>
      <c r="K203" s="55">
        <f t="shared" si="24"/>
        <v>239.778</v>
      </c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18"/>
      <c r="AB203" s="18"/>
      <c r="AC203" s="18"/>
      <c r="AD203" s="18"/>
      <c r="AE203" s="18"/>
      <c r="AF203" s="18"/>
      <c r="AG203" s="18"/>
      <c r="AH203" s="18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s="12" customFormat="1" ht="15.75" customHeight="1" outlineLevel="2">
      <c r="A204" s="27">
        <v>18</v>
      </c>
      <c r="B204" s="141" t="s">
        <v>376</v>
      </c>
      <c r="C204" s="24" t="s">
        <v>132</v>
      </c>
      <c r="D204" s="27" t="s">
        <v>30</v>
      </c>
      <c r="E204" s="28" t="s">
        <v>36</v>
      </c>
      <c r="F204" s="45" t="s">
        <v>40</v>
      </c>
      <c r="G204" s="15" t="s">
        <v>307</v>
      </c>
      <c r="H204" s="76">
        <v>4.67</v>
      </c>
      <c r="I204" s="132">
        <v>0.7</v>
      </c>
      <c r="J204" s="55">
        <v>35</v>
      </c>
      <c r="K204" s="55">
        <f t="shared" si="24"/>
        <v>114.41499999999999</v>
      </c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174">
        <f aca="true" t="shared" si="26" ref="AI204:AO204">(AH204+11.44)</f>
        <v>11.44</v>
      </c>
      <c r="AJ204" s="55">
        <f t="shared" si="26"/>
        <v>22.88</v>
      </c>
      <c r="AK204" s="55">
        <f t="shared" si="26"/>
        <v>34.32</v>
      </c>
      <c r="AL204" s="55">
        <f t="shared" si="26"/>
        <v>45.76</v>
      </c>
      <c r="AM204" s="55">
        <f t="shared" si="26"/>
        <v>57.199999999999996</v>
      </c>
      <c r="AN204" s="55">
        <f t="shared" si="26"/>
        <v>68.64</v>
      </c>
      <c r="AO204" s="55">
        <f t="shared" si="26"/>
        <v>80.08</v>
      </c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s="12" customFormat="1" ht="15.75" customHeight="1" outlineLevel="2">
      <c r="A205" s="27">
        <v>19</v>
      </c>
      <c r="B205" s="141" t="s">
        <v>376</v>
      </c>
      <c r="C205" s="24" t="s">
        <v>133</v>
      </c>
      <c r="D205" s="27" t="s">
        <v>30</v>
      </c>
      <c r="E205" s="28" t="s">
        <v>40</v>
      </c>
      <c r="F205" s="45" t="s">
        <v>40</v>
      </c>
      <c r="G205" s="15" t="s">
        <v>307</v>
      </c>
      <c r="H205" s="76">
        <v>32.054</v>
      </c>
      <c r="I205" s="45">
        <v>1.2</v>
      </c>
      <c r="J205" s="55">
        <v>35</v>
      </c>
      <c r="K205" s="55">
        <f t="shared" si="24"/>
        <v>1346.268</v>
      </c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18"/>
      <c r="AB205" s="18"/>
      <c r="AC205" s="18"/>
      <c r="AD205" s="18"/>
      <c r="AE205" s="18"/>
      <c r="AF205" s="18"/>
      <c r="AG205" s="18"/>
      <c r="AH205" s="18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42" s="2" customFormat="1" ht="15.75" customHeight="1" outlineLevel="2">
      <c r="A206" s="27">
        <v>20</v>
      </c>
      <c r="B206" s="141" t="s">
        <v>376</v>
      </c>
      <c r="C206" s="24" t="s">
        <v>134</v>
      </c>
      <c r="D206" s="27" t="s">
        <v>30</v>
      </c>
      <c r="E206" s="28" t="s">
        <v>36</v>
      </c>
      <c r="F206" s="45" t="s">
        <v>40</v>
      </c>
      <c r="G206" s="15" t="s">
        <v>307</v>
      </c>
      <c r="H206" s="76">
        <v>9.48</v>
      </c>
      <c r="I206" s="132">
        <v>0.7</v>
      </c>
      <c r="J206" s="55">
        <v>35</v>
      </c>
      <c r="K206" s="55">
        <f t="shared" si="24"/>
        <v>232.26</v>
      </c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174">
        <f aca="true" t="shared" si="27" ref="AI206:AO206">(AH206+23.23)</f>
        <v>23.23</v>
      </c>
      <c r="AJ206" s="55">
        <f t="shared" si="27"/>
        <v>46.46</v>
      </c>
      <c r="AK206" s="55">
        <f>(AJ206+23.23)</f>
        <v>69.69</v>
      </c>
      <c r="AL206" s="55">
        <f t="shared" si="27"/>
        <v>92.92</v>
      </c>
      <c r="AM206" s="55">
        <f t="shared" si="27"/>
        <v>116.15</v>
      </c>
      <c r="AN206" s="55">
        <f t="shared" si="27"/>
        <v>139.38</v>
      </c>
      <c r="AO206" s="55">
        <f t="shared" si="27"/>
        <v>162.60999999999999</v>
      </c>
      <c r="AP206" s="55">
        <f>(AO206+23.23)</f>
        <v>185.83999999999997</v>
      </c>
    </row>
    <row r="207" spans="1:26" ht="15.75" customHeight="1" outlineLevel="2">
      <c r="A207" s="27">
        <v>21</v>
      </c>
      <c r="B207" s="141" t="s">
        <v>376</v>
      </c>
      <c r="C207" s="39" t="s">
        <v>355</v>
      </c>
      <c r="D207" s="39" t="s">
        <v>364</v>
      </c>
      <c r="E207" s="37" t="s">
        <v>20</v>
      </c>
      <c r="F207" s="35" t="s">
        <v>20</v>
      </c>
      <c r="G207" s="14" t="s">
        <v>307</v>
      </c>
      <c r="H207" s="39">
        <v>1.089</v>
      </c>
      <c r="I207" s="49">
        <v>1.2</v>
      </c>
      <c r="J207" s="55">
        <v>35</v>
      </c>
      <c r="K207" s="55">
        <f t="shared" si="24"/>
        <v>45.738</v>
      </c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70" s="3" customFormat="1" ht="15.75" customHeight="1" outlineLevel="2">
      <c r="A208" s="27">
        <v>22</v>
      </c>
      <c r="B208" s="141" t="s">
        <v>376</v>
      </c>
      <c r="C208" s="39" t="s">
        <v>356</v>
      </c>
      <c r="D208" s="39" t="s">
        <v>139</v>
      </c>
      <c r="E208" s="37" t="s">
        <v>20</v>
      </c>
      <c r="F208" s="35" t="s">
        <v>20</v>
      </c>
      <c r="G208" s="14" t="s">
        <v>307</v>
      </c>
      <c r="H208" s="39">
        <v>2.952</v>
      </c>
      <c r="I208" s="49">
        <v>1.2</v>
      </c>
      <c r="J208" s="55">
        <v>35</v>
      </c>
      <c r="K208" s="55">
        <f t="shared" si="24"/>
        <v>123.984</v>
      </c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18"/>
      <c r="AD208" s="18"/>
      <c r="AE208" s="18"/>
      <c r="AF208" s="18"/>
      <c r="AG208" s="18"/>
      <c r="AH208" s="18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s="3" customFormat="1" ht="15.75" customHeight="1" outlineLevel="2">
      <c r="A209" s="27">
        <v>23</v>
      </c>
      <c r="B209" s="141" t="s">
        <v>376</v>
      </c>
      <c r="C209" s="24" t="s">
        <v>135</v>
      </c>
      <c r="D209" s="27" t="s">
        <v>139</v>
      </c>
      <c r="E209" s="144" t="s">
        <v>32</v>
      </c>
      <c r="F209" s="35" t="s">
        <v>20</v>
      </c>
      <c r="G209" s="14" t="s">
        <v>307</v>
      </c>
      <c r="H209" s="76">
        <v>3.089</v>
      </c>
      <c r="I209" s="49">
        <v>1.2</v>
      </c>
      <c r="J209" s="55">
        <v>35</v>
      </c>
      <c r="K209" s="55">
        <f t="shared" si="24"/>
        <v>129.738</v>
      </c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18"/>
      <c r="AA209" s="18"/>
      <c r="AB209" s="18"/>
      <c r="AC209" s="18"/>
      <c r="AD209" s="18"/>
      <c r="AE209" s="18"/>
      <c r="AF209" s="18"/>
      <c r="AG209" s="18"/>
      <c r="AH209" s="18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46" ht="15.75" customHeight="1" outlineLevel="2">
      <c r="A210" s="27">
        <v>24</v>
      </c>
      <c r="B210" s="141" t="s">
        <v>376</v>
      </c>
      <c r="C210" s="39" t="s">
        <v>357</v>
      </c>
      <c r="D210" s="39" t="s">
        <v>107</v>
      </c>
      <c r="E210" s="37" t="s">
        <v>21</v>
      </c>
      <c r="F210" s="35" t="s">
        <v>21</v>
      </c>
      <c r="G210" s="14" t="s">
        <v>307</v>
      </c>
      <c r="H210" s="39">
        <v>2.365</v>
      </c>
      <c r="I210" s="132">
        <v>0.7</v>
      </c>
      <c r="J210" s="55">
        <v>35</v>
      </c>
      <c r="K210" s="55">
        <f t="shared" si="24"/>
        <v>57.942499999999995</v>
      </c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174">
        <f aca="true" t="shared" si="28" ref="AI210:AS210">(AH210+5.79)</f>
        <v>5.79</v>
      </c>
      <c r="AJ210" s="55">
        <f t="shared" si="28"/>
        <v>11.58</v>
      </c>
      <c r="AK210" s="55">
        <f t="shared" si="28"/>
        <v>17.37</v>
      </c>
      <c r="AL210" s="55">
        <f t="shared" si="28"/>
        <v>23.16</v>
      </c>
      <c r="AM210" s="55">
        <f>(AL210+5.79)</f>
        <v>28.95</v>
      </c>
      <c r="AN210" s="55">
        <f t="shared" si="28"/>
        <v>34.74</v>
      </c>
      <c r="AO210" s="55">
        <f t="shared" si="28"/>
        <v>40.53</v>
      </c>
      <c r="AP210" s="55">
        <f t="shared" si="28"/>
        <v>46.32</v>
      </c>
      <c r="AQ210" s="55">
        <f t="shared" si="28"/>
        <v>52.11</v>
      </c>
      <c r="AR210" s="55">
        <f t="shared" si="28"/>
        <v>57.9</v>
      </c>
      <c r="AS210" s="55">
        <f t="shared" si="28"/>
        <v>63.69</v>
      </c>
      <c r="AT210" s="55">
        <f>(AS210+5.79)</f>
        <v>69.48</v>
      </c>
    </row>
    <row r="211" spans="1:26" ht="15.75" customHeight="1" outlineLevel="2">
      <c r="A211" s="27">
        <v>25</v>
      </c>
      <c r="B211" s="141" t="s">
        <v>376</v>
      </c>
      <c r="C211" s="27" t="s">
        <v>504</v>
      </c>
      <c r="D211" s="27" t="s">
        <v>107</v>
      </c>
      <c r="E211" s="41" t="s">
        <v>40</v>
      </c>
      <c r="F211" s="45" t="s">
        <v>40</v>
      </c>
      <c r="G211" s="101" t="s">
        <v>33</v>
      </c>
      <c r="H211" s="27">
        <v>17.214</v>
      </c>
      <c r="I211" s="45">
        <v>1.2</v>
      </c>
      <c r="J211" s="55">
        <v>35</v>
      </c>
      <c r="K211" s="55">
        <f t="shared" si="24"/>
        <v>722.9879999999999</v>
      </c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40" ht="15.75" customHeight="1" outlineLevel="2">
      <c r="A212" s="27">
        <v>26</v>
      </c>
      <c r="B212" s="141" t="s">
        <v>376</v>
      </c>
      <c r="C212" s="24" t="s">
        <v>136</v>
      </c>
      <c r="D212" s="27" t="s">
        <v>107</v>
      </c>
      <c r="E212" s="144" t="s">
        <v>23</v>
      </c>
      <c r="F212" s="44" t="s">
        <v>40</v>
      </c>
      <c r="G212" s="16" t="s">
        <v>94</v>
      </c>
      <c r="H212" s="76">
        <v>4.178</v>
      </c>
      <c r="I212" s="132">
        <v>0.7</v>
      </c>
      <c r="J212" s="55">
        <v>35</v>
      </c>
      <c r="K212" s="55">
        <f t="shared" si="24"/>
        <v>102.36099999999999</v>
      </c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174">
        <f aca="true" t="shared" si="29" ref="AI212:AN212">(AH212+10.24)</f>
        <v>10.24</v>
      </c>
      <c r="AJ212" s="55">
        <f t="shared" si="29"/>
        <v>20.48</v>
      </c>
      <c r="AK212" s="55">
        <f t="shared" si="29"/>
        <v>30.72</v>
      </c>
      <c r="AL212" s="55">
        <f t="shared" si="29"/>
        <v>40.96</v>
      </c>
      <c r="AM212" s="55">
        <f t="shared" si="29"/>
        <v>51.2</v>
      </c>
      <c r="AN212" s="55">
        <f t="shared" si="29"/>
        <v>61.440000000000005</v>
      </c>
    </row>
    <row r="213" spans="1:28" ht="15.75" customHeight="1" outlineLevel="2">
      <c r="A213" s="27">
        <v>27</v>
      </c>
      <c r="B213" s="141" t="s">
        <v>376</v>
      </c>
      <c r="C213" s="24" t="s">
        <v>137</v>
      </c>
      <c r="D213" s="27" t="s">
        <v>107</v>
      </c>
      <c r="E213" s="28" t="s">
        <v>18</v>
      </c>
      <c r="F213" s="142" t="s">
        <v>18</v>
      </c>
      <c r="G213" s="136" t="s">
        <v>94</v>
      </c>
      <c r="H213" s="76">
        <v>19.08</v>
      </c>
      <c r="I213" s="45">
        <v>1.2</v>
      </c>
      <c r="J213" s="55">
        <v>35</v>
      </c>
      <c r="K213" s="55">
        <f t="shared" si="24"/>
        <v>801.3599999999999</v>
      </c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</row>
    <row r="214" spans="1:70" s="1" customFormat="1" ht="15.75" customHeight="1" outlineLevel="2">
      <c r="A214" s="27">
        <v>28</v>
      </c>
      <c r="B214" s="141" t="s">
        <v>376</v>
      </c>
      <c r="C214" s="24" t="s">
        <v>138</v>
      </c>
      <c r="D214" s="27" t="s">
        <v>38</v>
      </c>
      <c r="E214" s="28" t="s">
        <v>16</v>
      </c>
      <c r="F214" s="142" t="s">
        <v>16</v>
      </c>
      <c r="G214" s="36" t="s">
        <v>28</v>
      </c>
      <c r="H214" s="76">
        <v>9.525</v>
      </c>
      <c r="I214" s="49">
        <v>1.2</v>
      </c>
      <c r="J214" s="55">
        <v>35</v>
      </c>
      <c r="K214" s="55">
        <f t="shared" si="24"/>
        <v>400.05</v>
      </c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18"/>
      <c r="AB214" s="18"/>
      <c r="AC214" s="18"/>
      <c r="AD214" s="18"/>
      <c r="AE214" s="18"/>
      <c r="AF214" s="18"/>
      <c r="AG214" s="18"/>
      <c r="AH214" s="18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s="1" customFormat="1" ht="15.75" customHeight="1" outlineLevel="2">
      <c r="A215" s="27">
        <v>29</v>
      </c>
      <c r="B215" s="141" t="s">
        <v>376</v>
      </c>
      <c r="C215" s="67" t="s">
        <v>173</v>
      </c>
      <c r="D215" s="27" t="s">
        <v>34</v>
      </c>
      <c r="E215" s="28" t="s">
        <v>36</v>
      </c>
      <c r="F215" s="142" t="s">
        <v>40</v>
      </c>
      <c r="G215" s="36" t="s">
        <v>28</v>
      </c>
      <c r="H215" s="76">
        <v>4.462</v>
      </c>
      <c r="I215" s="132">
        <v>0.7</v>
      </c>
      <c r="J215" s="55">
        <v>35</v>
      </c>
      <c r="K215" s="55">
        <f t="shared" si="24"/>
        <v>109.31899999999999</v>
      </c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174">
        <f>(AH215+10.93)</f>
        <v>10.93</v>
      </c>
      <c r="AJ215" s="55">
        <f aca="true" t="shared" si="30" ref="AJ215:AQ215">(AI215+10.93)</f>
        <v>21.86</v>
      </c>
      <c r="AK215" s="55">
        <f t="shared" si="30"/>
        <v>32.79</v>
      </c>
      <c r="AL215" s="55">
        <f t="shared" si="30"/>
        <v>43.72</v>
      </c>
      <c r="AM215" s="55">
        <f t="shared" si="30"/>
        <v>54.65</v>
      </c>
      <c r="AN215" s="55">
        <f t="shared" si="30"/>
        <v>65.58</v>
      </c>
      <c r="AO215" s="55">
        <f t="shared" si="30"/>
        <v>76.50999999999999</v>
      </c>
      <c r="AP215" s="55">
        <f t="shared" si="30"/>
        <v>87.44</v>
      </c>
      <c r="AQ215" s="55">
        <f t="shared" si="30"/>
        <v>98.37</v>
      </c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s="1" customFormat="1" ht="15.75" customHeight="1" outlineLevel="2">
      <c r="A216" s="27">
        <v>30</v>
      </c>
      <c r="B216" s="141" t="s">
        <v>376</v>
      </c>
      <c r="C216" s="39" t="s">
        <v>358</v>
      </c>
      <c r="D216" s="39" t="s">
        <v>365</v>
      </c>
      <c r="E216" s="37" t="s">
        <v>16</v>
      </c>
      <c r="F216" s="142" t="s">
        <v>16</v>
      </c>
      <c r="G216" s="15" t="s">
        <v>307</v>
      </c>
      <c r="H216" s="39">
        <v>2.934</v>
      </c>
      <c r="I216" s="49">
        <v>1.2</v>
      </c>
      <c r="J216" s="55">
        <v>35</v>
      </c>
      <c r="K216" s="55">
        <f t="shared" si="24"/>
        <v>123.228</v>
      </c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18"/>
      <c r="AC216" s="18"/>
      <c r="AD216" s="18"/>
      <c r="AE216" s="18"/>
      <c r="AF216" s="18"/>
      <c r="AG216" s="18"/>
      <c r="AH216" s="18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s="1" customFormat="1" ht="15.75" customHeight="1" outlineLevel="2">
      <c r="A217" s="27">
        <v>31</v>
      </c>
      <c r="B217" s="141" t="s">
        <v>376</v>
      </c>
      <c r="C217" s="39" t="s">
        <v>359</v>
      </c>
      <c r="D217" s="39" t="s">
        <v>365</v>
      </c>
      <c r="E217" s="37" t="s">
        <v>16</v>
      </c>
      <c r="F217" s="142" t="s">
        <v>16</v>
      </c>
      <c r="G217" s="14" t="s">
        <v>307</v>
      </c>
      <c r="H217" s="78">
        <v>2</v>
      </c>
      <c r="I217" s="49">
        <v>1.2</v>
      </c>
      <c r="J217" s="55">
        <v>35</v>
      </c>
      <c r="K217" s="55">
        <f t="shared" si="24"/>
        <v>84</v>
      </c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18"/>
      <c r="AG217" s="18"/>
      <c r="AH217" s="18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s="1" customFormat="1" ht="15.75" customHeight="1" outlineLevel="2">
      <c r="A218" s="27">
        <v>32</v>
      </c>
      <c r="B218" s="141" t="s">
        <v>376</v>
      </c>
      <c r="C218" s="39" t="s">
        <v>360</v>
      </c>
      <c r="D218" s="39" t="s">
        <v>366</v>
      </c>
      <c r="E218" s="37" t="s">
        <v>40</v>
      </c>
      <c r="F218" s="35" t="s">
        <v>40</v>
      </c>
      <c r="G218" s="14" t="s">
        <v>307</v>
      </c>
      <c r="H218" s="39">
        <v>3.207</v>
      </c>
      <c r="I218" s="132">
        <v>0.7</v>
      </c>
      <c r="J218" s="55">
        <v>35</v>
      </c>
      <c r="K218" s="55">
        <f t="shared" si="24"/>
        <v>78.5715</v>
      </c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174">
        <f aca="true" t="shared" si="31" ref="AI218:AO218">(AH218+7.86)</f>
        <v>7.86</v>
      </c>
      <c r="AJ218" s="55">
        <f t="shared" si="31"/>
        <v>15.72</v>
      </c>
      <c r="AK218" s="55">
        <f>(AJ218+7.86)</f>
        <v>23.580000000000002</v>
      </c>
      <c r="AL218" s="55">
        <f t="shared" si="31"/>
        <v>31.44</v>
      </c>
      <c r="AM218" s="55">
        <f t="shared" si="31"/>
        <v>39.300000000000004</v>
      </c>
      <c r="AN218" s="55">
        <f t="shared" si="31"/>
        <v>47.160000000000004</v>
      </c>
      <c r="AO218" s="55">
        <f t="shared" si="31"/>
        <v>55.02</v>
      </c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s="1" customFormat="1" ht="15.75" customHeight="1" outlineLevel="2">
      <c r="A219" s="27">
        <v>33</v>
      </c>
      <c r="B219" s="141" t="s">
        <v>376</v>
      </c>
      <c r="C219" s="24" t="s">
        <v>127</v>
      </c>
      <c r="D219" s="27" t="s">
        <v>34</v>
      </c>
      <c r="E219" s="28" t="s">
        <v>35</v>
      </c>
      <c r="F219" s="142" t="s">
        <v>35</v>
      </c>
      <c r="G219" s="36" t="s">
        <v>28</v>
      </c>
      <c r="H219" s="76">
        <v>5.7</v>
      </c>
      <c r="I219" s="132">
        <v>0.7</v>
      </c>
      <c r="J219" s="55">
        <v>35</v>
      </c>
      <c r="K219" s="55">
        <f t="shared" si="24"/>
        <v>139.65</v>
      </c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174">
        <f aca="true" t="shared" si="32" ref="AI219:AQ219">(AH219+13.97)</f>
        <v>13.97</v>
      </c>
      <c r="AJ219" s="55">
        <f t="shared" si="32"/>
        <v>27.94</v>
      </c>
      <c r="AK219" s="55">
        <f t="shared" si="32"/>
        <v>41.910000000000004</v>
      </c>
      <c r="AL219" s="55">
        <f t="shared" si="32"/>
        <v>55.88</v>
      </c>
      <c r="AM219" s="55">
        <f t="shared" si="32"/>
        <v>69.85000000000001</v>
      </c>
      <c r="AN219" s="55">
        <f t="shared" si="32"/>
        <v>83.82000000000001</v>
      </c>
      <c r="AO219" s="55">
        <f t="shared" si="32"/>
        <v>97.79</v>
      </c>
      <c r="AP219" s="55">
        <f t="shared" si="32"/>
        <v>111.76</v>
      </c>
      <c r="AQ219" s="55">
        <f t="shared" si="32"/>
        <v>125.73</v>
      </c>
      <c r="AR219" s="55"/>
      <c r="AS219" s="55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s="1" customFormat="1" ht="15.75" customHeight="1" outlineLevel="2">
      <c r="A220" s="27">
        <v>34</v>
      </c>
      <c r="B220" s="141" t="s">
        <v>376</v>
      </c>
      <c r="C220" s="39" t="s">
        <v>361</v>
      </c>
      <c r="D220" s="39" t="s">
        <v>366</v>
      </c>
      <c r="E220" s="37" t="s">
        <v>16</v>
      </c>
      <c r="F220" s="35" t="s">
        <v>16</v>
      </c>
      <c r="G220" s="14" t="s">
        <v>307</v>
      </c>
      <c r="H220" s="39">
        <v>3.915</v>
      </c>
      <c r="I220" s="49">
        <v>1.2</v>
      </c>
      <c r="J220" s="55">
        <v>35</v>
      </c>
      <c r="K220" s="55">
        <f t="shared" si="24"/>
        <v>164.42999999999998</v>
      </c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18"/>
      <c r="AC220" s="18"/>
      <c r="AD220" s="18"/>
      <c r="AE220" s="18"/>
      <c r="AF220" s="18"/>
      <c r="AG220" s="18"/>
      <c r="AH220" s="18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s="1" customFormat="1" ht="15.75" customHeight="1" outlineLevel="2">
      <c r="A221" s="27">
        <v>35</v>
      </c>
      <c r="B221" s="141" t="s">
        <v>376</v>
      </c>
      <c r="C221" s="39" t="s">
        <v>362</v>
      </c>
      <c r="D221" s="39" t="s">
        <v>366</v>
      </c>
      <c r="E221" s="37" t="s">
        <v>35</v>
      </c>
      <c r="F221" s="35" t="s">
        <v>35</v>
      </c>
      <c r="G221" s="14" t="s">
        <v>307</v>
      </c>
      <c r="H221" s="39">
        <v>2.001</v>
      </c>
      <c r="I221" s="132">
        <v>0.7</v>
      </c>
      <c r="J221" s="55">
        <v>35</v>
      </c>
      <c r="K221" s="55">
        <f t="shared" si="24"/>
        <v>49.024499999999996</v>
      </c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174">
        <f>(AH221+4.9)</f>
        <v>4.9</v>
      </c>
      <c r="AJ221" s="55">
        <f aca="true" t="shared" si="33" ref="AJ221:AP221">(AI221+4.9)</f>
        <v>9.8</v>
      </c>
      <c r="AK221" s="55">
        <f t="shared" si="33"/>
        <v>14.700000000000001</v>
      </c>
      <c r="AL221" s="55">
        <f t="shared" si="33"/>
        <v>19.6</v>
      </c>
      <c r="AM221" s="55">
        <f>(AL221+4.9)</f>
        <v>24.5</v>
      </c>
      <c r="AN221" s="55">
        <f t="shared" si="33"/>
        <v>29.4</v>
      </c>
      <c r="AO221" s="55">
        <f t="shared" si="33"/>
        <v>34.3</v>
      </c>
      <c r="AP221" s="55">
        <f t="shared" si="33"/>
        <v>39.199999999999996</v>
      </c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42" s="59" customFormat="1" ht="15.75" customHeight="1" outlineLevel="2">
      <c r="A222" s="27">
        <v>36</v>
      </c>
      <c r="B222" s="141" t="s">
        <v>376</v>
      </c>
      <c r="C222" s="39" t="s">
        <v>578</v>
      </c>
      <c r="D222" s="39" t="s">
        <v>579</v>
      </c>
      <c r="E222" s="37"/>
      <c r="F222" s="35" t="s">
        <v>35</v>
      </c>
      <c r="G222" s="14" t="s">
        <v>307</v>
      </c>
      <c r="H222" s="78">
        <v>3.8</v>
      </c>
      <c r="I222" s="132">
        <v>0.7</v>
      </c>
      <c r="J222" s="55">
        <v>35</v>
      </c>
      <c r="K222" s="55">
        <f t="shared" si="24"/>
        <v>93.1</v>
      </c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174">
        <f aca="true" t="shared" si="34" ref="AI222:AP222">(AH222+9.31)</f>
        <v>9.31</v>
      </c>
      <c r="AJ222" s="55">
        <f t="shared" si="34"/>
        <v>18.62</v>
      </c>
      <c r="AK222" s="55">
        <f t="shared" si="34"/>
        <v>27.93</v>
      </c>
      <c r="AL222" s="55">
        <f t="shared" si="34"/>
        <v>37.24</v>
      </c>
      <c r="AM222" s="55">
        <f t="shared" si="34"/>
        <v>46.550000000000004</v>
      </c>
      <c r="AN222" s="55">
        <f t="shared" si="34"/>
        <v>55.86000000000001</v>
      </c>
      <c r="AO222" s="55">
        <f t="shared" si="34"/>
        <v>65.17</v>
      </c>
      <c r="AP222" s="55">
        <f t="shared" si="34"/>
        <v>74.48</v>
      </c>
    </row>
    <row r="223" spans="1:42" s="59" customFormat="1" ht="15.75" customHeight="1" outlineLevel="2">
      <c r="A223" s="27">
        <v>37</v>
      </c>
      <c r="B223" s="141" t="s">
        <v>376</v>
      </c>
      <c r="C223" s="39" t="s">
        <v>580</v>
      </c>
      <c r="D223" s="39" t="s">
        <v>30</v>
      </c>
      <c r="E223" s="37"/>
      <c r="F223" s="44" t="s">
        <v>40</v>
      </c>
      <c r="G223" s="36" t="s">
        <v>28</v>
      </c>
      <c r="H223" s="39">
        <v>3.851</v>
      </c>
      <c r="I223" s="132">
        <v>0.7</v>
      </c>
      <c r="J223" s="55">
        <v>35</v>
      </c>
      <c r="K223" s="55">
        <f t="shared" si="24"/>
        <v>94.3495</v>
      </c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174">
        <f aca="true" t="shared" si="35" ref="AI223:AP223">(AH223+9.44)</f>
        <v>9.44</v>
      </c>
      <c r="AJ223" s="55">
        <f t="shared" si="35"/>
        <v>18.88</v>
      </c>
      <c r="AK223" s="55">
        <f t="shared" si="35"/>
        <v>28.32</v>
      </c>
      <c r="AL223" s="55">
        <f t="shared" si="35"/>
        <v>37.76</v>
      </c>
      <c r="AM223" s="55">
        <f t="shared" si="35"/>
        <v>47.199999999999996</v>
      </c>
      <c r="AN223" s="55">
        <f t="shared" si="35"/>
        <v>56.63999999999999</v>
      </c>
      <c r="AO223" s="55">
        <f t="shared" si="35"/>
        <v>66.08</v>
      </c>
      <c r="AP223" s="55">
        <f t="shared" si="35"/>
        <v>75.52</v>
      </c>
    </row>
    <row r="224" spans="1:34" s="59" customFormat="1" ht="15.75" customHeight="1" outlineLevel="2">
      <c r="A224" s="27">
        <v>38</v>
      </c>
      <c r="B224" s="141" t="s">
        <v>376</v>
      </c>
      <c r="C224" s="39" t="s">
        <v>581</v>
      </c>
      <c r="D224" s="39" t="s">
        <v>365</v>
      </c>
      <c r="E224" s="37"/>
      <c r="F224" s="142" t="s">
        <v>16</v>
      </c>
      <c r="G224" s="36" t="s">
        <v>33</v>
      </c>
      <c r="H224" s="39">
        <v>2.999</v>
      </c>
      <c r="I224" s="49">
        <v>1.2</v>
      </c>
      <c r="J224" s="55">
        <v>35</v>
      </c>
      <c r="K224" s="55">
        <f t="shared" si="24"/>
        <v>125.958</v>
      </c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18"/>
    </row>
    <row r="225" spans="1:42" s="59" customFormat="1" ht="15.75" customHeight="1" outlineLevel="2">
      <c r="A225" s="27">
        <v>39</v>
      </c>
      <c r="B225" s="141" t="s">
        <v>376</v>
      </c>
      <c r="C225" s="39" t="s">
        <v>582</v>
      </c>
      <c r="D225" s="39" t="s">
        <v>30</v>
      </c>
      <c r="E225" s="37"/>
      <c r="F225" s="44" t="s">
        <v>40</v>
      </c>
      <c r="G225" s="36" t="s">
        <v>28</v>
      </c>
      <c r="H225" s="39">
        <v>5.001</v>
      </c>
      <c r="I225" s="132">
        <v>0.7</v>
      </c>
      <c r="J225" s="55">
        <v>35</v>
      </c>
      <c r="K225" s="55">
        <f t="shared" si="24"/>
        <v>122.5245</v>
      </c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174">
        <f aca="true" t="shared" si="36" ref="AI225:AP225">(AH225+12.25)</f>
        <v>12.25</v>
      </c>
      <c r="AJ225" s="55">
        <f t="shared" si="36"/>
        <v>24.5</v>
      </c>
      <c r="AK225" s="55">
        <f>(AJ225+12.25)</f>
        <v>36.75</v>
      </c>
      <c r="AL225" s="55">
        <f t="shared" si="36"/>
        <v>49</v>
      </c>
      <c r="AM225" s="55">
        <f t="shared" si="36"/>
        <v>61.25</v>
      </c>
      <c r="AN225" s="55">
        <f>(AM225+12.25)</f>
        <v>73.5</v>
      </c>
      <c r="AO225" s="55">
        <f t="shared" si="36"/>
        <v>85.75</v>
      </c>
      <c r="AP225" s="55">
        <f t="shared" si="36"/>
        <v>98</v>
      </c>
    </row>
    <row r="226" spans="1:42" s="59" customFormat="1" ht="15.75" customHeight="1" outlineLevel="2">
      <c r="A226" s="27">
        <v>40</v>
      </c>
      <c r="B226" s="141" t="s">
        <v>376</v>
      </c>
      <c r="C226" s="39" t="s">
        <v>583</v>
      </c>
      <c r="D226" s="39" t="s">
        <v>365</v>
      </c>
      <c r="E226" s="37"/>
      <c r="F226" s="44" t="s">
        <v>40</v>
      </c>
      <c r="G226" s="36" t="s">
        <v>28</v>
      </c>
      <c r="H226" s="39">
        <v>4.172</v>
      </c>
      <c r="I226" s="132">
        <v>0.7</v>
      </c>
      <c r="J226" s="55">
        <v>35</v>
      </c>
      <c r="K226" s="55">
        <f t="shared" si="24"/>
        <v>102.21399999999998</v>
      </c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174">
        <f>(AH226+10.22)</f>
        <v>10.22</v>
      </c>
      <c r="AJ226" s="55">
        <f aca="true" t="shared" si="37" ref="AJ226:AP226">(AI226+10.22)</f>
        <v>20.44</v>
      </c>
      <c r="AK226" s="55">
        <f>(AJ226+10.22)</f>
        <v>30.660000000000004</v>
      </c>
      <c r="AL226" s="55">
        <f t="shared" si="37"/>
        <v>40.88</v>
      </c>
      <c r="AM226" s="55">
        <f t="shared" si="37"/>
        <v>51.1</v>
      </c>
      <c r="AN226" s="55">
        <f>(AM226+10.22)</f>
        <v>61.32</v>
      </c>
      <c r="AO226" s="55">
        <f t="shared" si="37"/>
        <v>71.54</v>
      </c>
      <c r="AP226" s="55">
        <f t="shared" si="37"/>
        <v>81.76</v>
      </c>
    </row>
    <row r="227" spans="1:48" s="59" customFormat="1" ht="15.75" customHeight="1" outlineLevel="2">
      <c r="A227" s="27">
        <v>41</v>
      </c>
      <c r="B227" s="141" t="s">
        <v>376</v>
      </c>
      <c r="C227" s="39" t="s">
        <v>584</v>
      </c>
      <c r="D227" s="39" t="s">
        <v>365</v>
      </c>
      <c r="E227" s="37"/>
      <c r="F227" s="44" t="s">
        <v>40</v>
      </c>
      <c r="G227" s="36" t="s">
        <v>33</v>
      </c>
      <c r="H227" s="39">
        <v>7.274</v>
      </c>
      <c r="I227" s="132">
        <v>0.7</v>
      </c>
      <c r="J227" s="55">
        <v>35</v>
      </c>
      <c r="K227" s="55">
        <f t="shared" si="24"/>
        <v>178.213</v>
      </c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174">
        <f aca="true" t="shared" si="38" ref="AI227:AP227">(AH227+17.82)</f>
        <v>17.82</v>
      </c>
      <c r="AJ227" s="55">
        <f t="shared" si="38"/>
        <v>35.64</v>
      </c>
      <c r="AK227" s="55">
        <f t="shared" si="38"/>
        <v>53.46</v>
      </c>
      <c r="AL227" s="55">
        <f t="shared" si="38"/>
        <v>71.28</v>
      </c>
      <c r="AM227" s="55">
        <f t="shared" si="38"/>
        <v>89.1</v>
      </c>
      <c r="AN227" s="55">
        <f t="shared" si="38"/>
        <v>106.91999999999999</v>
      </c>
      <c r="AO227" s="55">
        <f t="shared" si="38"/>
        <v>124.73999999999998</v>
      </c>
      <c r="AP227" s="55">
        <f t="shared" si="38"/>
        <v>142.55999999999997</v>
      </c>
      <c r="AQ227" s="55"/>
      <c r="AR227" s="55"/>
      <c r="AS227" s="55"/>
      <c r="AT227" s="55"/>
      <c r="AU227" s="55"/>
      <c r="AV227" s="55"/>
    </row>
    <row r="228" spans="1:44" s="59" customFormat="1" ht="15.75" customHeight="1" outlineLevel="2">
      <c r="A228" s="27">
        <v>42</v>
      </c>
      <c r="B228" s="141" t="s">
        <v>376</v>
      </c>
      <c r="C228" s="39" t="s">
        <v>585</v>
      </c>
      <c r="D228" s="39" t="s">
        <v>365</v>
      </c>
      <c r="E228" s="37"/>
      <c r="F228" s="44" t="s">
        <v>40</v>
      </c>
      <c r="G228" s="36" t="s">
        <v>33</v>
      </c>
      <c r="H228" s="78">
        <v>4</v>
      </c>
      <c r="I228" s="132">
        <v>0.7</v>
      </c>
      <c r="J228" s="55">
        <v>35</v>
      </c>
      <c r="K228" s="55">
        <f t="shared" si="24"/>
        <v>98</v>
      </c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174">
        <f>(AH228+9.8)</f>
        <v>9.8</v>
      </c>
      <c r="AJ228" s="55">
        <f aca="true" t="shared" si="39" ref="AJ228:AR228">(AI228+9.8)</f>
        <v>19.6</v>
      </c>
      <c r="AK228" s="55">
        <f t="shared" si="39"/>
        <v>29.400000000000002</v>
      </c>
      <c r="AL228" s="55">
        <f t="shared" si="39"/>
        <v>39.2</v>
      </c>
      <c r="AM228" s="55">
        <f t="shared" si="39"/>
        <v>49</v>
      </c>
      <c r="AN228" s="55">
        <f t="shared" si="39"/>
        <v>58.8</v>
      </c>
      <c r="AO228" s="55">
        <f>(AN228+9.8)</f>
        <v>68.6</v>
      </c>
      <c r="AP228" s="55">
        <f t="shared" si="39"/>
        <v>78.39999999999999</v>
      </c>
      <c r="AQ228" s="55">
        <f t="shared" si="39"/>
        <v>88.19999999999999</v>
      </c>
      <c r="AR228" s="55">
        <f t="shared" si="39"/>
        <v>97.99999999999999</v>
      </c>
    </row>
    <row r="229" spans="1:34" s="59" customFormat="1" ht="15.75" customHeight="1" outlineLevel="1">
      <c r="A229" s="27"/>
      <c r="B229" s="125" t="s">
        <v>590</v>
      </c>
      <c r="C229" s="39"/>
      <c r="D229" s="39"/>
      <c r="E229" s="46"/>
      <c r="F229" s="49"/>
      <c r="G229" s="36"/>
      <c r="H229" s="89">
        <f>SUBTOTAL(9,H187:H228)</f>
        <v>216.831</v>
      </c>
      <c r="I229" s="49"/>
      <c r="J229" s="54"/>
      <c r="K229" s="55"/>
      <c r="L229" s="62"/>
      <c r="M229" s="62"/>
      <c r="N229" s="97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spans="1:70" s="1" customFormat="1" ht="15.75" customHeight="1" outlineLevel="1">
      <c r="A230" s="27"/>
      <c r="B230" s="43"/>
      <c r="C230" s="27"/>
      <c r="D230" s="27"/>
      <c r="E230" s="101"/>
      <c r="F230" s="45"/>
      <c r="G230" s="41"/>
      <c r="H230" s="58"/>
      <c r="I230" s="45"/>
      <c r="J230" s="54"/>
      <c r="K230" s="55"/>
      <c r="L230" s="62"/>
      <c r="M230" s="62"/>
      <c r="N230" s="97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s="1" customFormat="1" ht="15.75" customHeight="1" outlineLevel="1">
      <c r="A231" s="27"/>
      <c r="B231" s="43"/>
      <c r="C231" s="24"/>
      <c r="D231" s="27"/>
      <c r="E231" s="37"/>
      <c r="F231" s="35"/>
      <c r="G231" s="142"/>
      <c r="H231" s="76"/>
      <c r="I231" s="49"/>
      <c r="J231" s="54"/>
      <c r="K231" s="55"/>
      <c r="L231" s="62"/>
      <c r="M231" s="62"/>
      <c r="N231" s="97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s="1" customFormat="1" ht="15.75" customHeight="1" outlineLevel="1">
      <c r="A232" s="27"/>
      <c r="B232" s="141"/>
      <c r="C232" s="24"/>
      <c r="D232" s="27"/>
      <c r="E232" s="28"/>
      <c r="F232" s="142"/>
      <c r="G232" s="142"/>
      <c r="H232" s="82"/>
      <c r="I232" s="45"/>
      <c r="J232" s="54"/>
      <c r="K232" s="55"/>
      <c r="L232" s="62"/>
      <c r="M232" s="62"/>
      <c r="N232" s="97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s="1" customFormat="1" ht="15.75" customHeight="1" outlineLevel="1">
      <c r="A233" s="27"/>
      <c r="B233" s="141"/>
      <c r="C233" s="24"/>
      <c r="D233" s="27"/>
      <c r="E233" s="28"/>
      <c r="F233" s="142"/>
      <c r="G233" s="142"/>
      <c r="H233" s="82"/>
      <c r="I233" s="45"/>
      <c r="J233" s="54"/>
      <c r="K233" s="55"/>
      <c r="L233" s="62"/>
      <c r="M233" s="62"/>
      <c r="N233" s="97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34" s="2" customFormat="1" ht="15.75" customHeight="1" outlineLevel="2">
      <c r="A234" s="139">
        <v>1</v>
      </c>
      <c r="B234" s="141" t="s">
        <v>375</v>
      </c>
      <c r="C234" s="70" t="s">
        <v>140</v>
      </c>
      <c r="D234" s="139" t="s">
        <v>41</v>
      </c>
      <c r="E234" s="144" t="s">
        <v>11</v>
      </c>
      <c r="F234" s="141" t="s">
        <v>11</v>
      </c>
      <c r="G234" s="142" t="s">
        <v>94</v>
      </c>
      <c r="H234" s="139">
        <v>41.386</v>
      </c>
      <c r="I234" s="45">
        <v>1.2</v>
      </c>
      <c r="J234" s="55">
        <v>34</v>
      </c>
      <c r="K234" s="55">
        <f t="shared" si="24"/>
        <v>1688.5488</v>
      </c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18"/>
      <c r="AB234" s="18"/>
      <c r="AC234" s="18"/>
      <c r="AD234" s="18"/>
      <c r="AE234" s="18"/>
      <c r="AF234" s="18"/>
      <c r="AG234" s="18"/>
      <c r="AH234" s="18"/>
    </row>
    <row r="235" spans="1:34" s="2" customFormat="1" ht="15.75" customHeight="1" outlineLevel="2">
      <c r="A235" s="139">
        <v>2</v>
      </c>
      <c r="B235" s="141" t="s">
        <v>375</v>
      </c>
      <c r="C235" s="66" t="s">
        <v>141</v>
      </c>
      <c r="D235" s="139" t="s">
        <v>41</v>
      </c>
      <c r="E235" s="144" t="s">
        <v>11</v>
      </c>
      <c r="F235" s="141" t="s">
        <v>11</v>
      </c>
      <c r="G235" s="142" t="s">
        <v>94</v>
      </c>
      <c r="H235" s="77">
        <v>4.19</v>
      </c>
      <c r="I235" s="45">
        <v>1.2</v>
      </c>
      <c r="J235" s="55">
        <v>34</v>
      </c>
      <c r="K235" s="55">
        <f t="shared" si="24"/>
        <v>170.95200000000003</v>
      </c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18"/>
      <c r="AA235" s="18"/>
      <c r="AB235" s="18"/>
      <c r="AC235" s="18"/>
      <c r="AD235" s="18"/>
      <c r="AE235" s="18"/>
      <c r="AF235" s="18"/>
      <c r="AG235" s="18"/>
      <c r="AH235" s="18"/>
    </row>
    <row r="236" spans="1:34" s="59" customFormat="1" ht="15.75" customHeight="1" outlineLevel="1">
      <c r="A236" s="139"/>
      <c r="B236" s="125" t="s">
        <v>590</v>
      </c>
      <c r="C236" s="27"/>
      <c r="D236" s="104"/>
      <c r="E236" s="144"/>
      <c r="F236" s="141"/>
      <c r="G236" s="141"/>
      <c r="H236" s="58">
        <f>SUBTOTAL(9,H234:H235)</f>
        <v>45.576</v>
      </c>
      <c r="I236" s="44"/>
      <c r="J236" s="54"/>
      <c r="K236" s="55"/>
      <c r="L236" s="62"/>
      <c r="M236" s="62"/>
      <c r="N236" s="97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</row>
    <row r="237" spans="1:34" s="2" customFormat="1" ht="15.75" customHeight="1" outlineLevel="1">
      <c r="A237" s="139"/>
      <c r="B237" s="43"/>
      <c r="C237" s="66"/>
      <c r="D237" s="139"/>
      <c r="E237" s="144"/>
      <c r="F237" s="141"/>
      <c r="G237" s="141"/>
      <c r="H237" s="90"/>
      <c r="I237" s="44"/>
      <c r="J237" s="54"/>
      <c r="K237" s="55"/>
      <c r="L237" s="62"/>
      <c r="M237" s="62"/>
      <c r="N237" s="97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</row>
    <row r="238" spans="1:34" s="2" customFormat="1" ht="15.75" customHeight="1" outlineLevel="1">
      <c r="A238" s="139"/>
      <c r="B238" s="43"/>
      <c r="C238" s="66"/>
      <c r="D238" s="139"/>
      <c r="E238" s="144"/>
      <c r="F238" s="141"/>
      <c r="G238" s="141"/>
      <c r="H238" s="76"/>
      <c r="I238" s="44"/>
      <c r="J238" s="54"/>
      <c r="K238" s="55"/>
      <c r="L238" s="62"/>
      <c r="M238" s="62"/>
      <c r="N238" s="97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</row>
    <row r="239" spans="1:34" s="2" customFormat="1" ht="15.75" customHeight="1" outlineLevel="1">
      <c r="A239" s="139"/>
      <c r="B239" s="43"/>
      <c r="C239" s="66"/>
      <c r="D239" s="139"/>
      <c r="E239" s="144"/>
      <c r="F239" s="141"/>
      <c r="G239" s="141"/>
      <c r="H239" s="139"/>
      <c r="I239" s="44"/>
      <c r="J239" s="54"/>
      <c r="K239" s="55"/>
      <c r="L239" s="62"/>
      <c r="M239" s="62"/>
      <c r="N239" s="97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</row>
    <row r="240" spans="1:34" s="2" customFormat="1" ht="15.75" customHeight="1" outlineLevel="1">
      <c r="A240" s="27"/>
      <c r="B240" s="141"/>
      <c r="C240" s="66"/>
      <c r="D240" s="139"/>
      <c r="E240" s="144"/>
      <c r="F240" s="141"/>
      <c r="G240" s="141"/>
      <c r="H240" s="139"/>
      <c r="I240" s="44"/>
      <c r="J240" s="54"/>
      <c r="K240" s="55"/>
      <c r="L240" s="62"/>
      <c r="M240" s="62"/>
      <c r="N240" s="97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</row>
    <row r="241" spans="1:70" s="3" customFormat="1" ht="15.75" customHeight="1" outlineLevel="2">
      <c r="A241" s="27">
        <v>1</v>
      </c>
      <c r="B241" s="141" t="s">
        <v>374</v>
      </c>
      <c r="C241" s="68" t="s">
        <v>142</v>
      </c>
      <c r="D241" s="27" t="s">
        <v>95</v>
      </c>
      <c r="E241" s="144" t="s">
        <v>52</v>
      </c>
      <c r="F241" s="141" t="s">
        <v>21</v>
      </c>
      <c r="G241" s="136" t="s">
        <v>91</v>
      </c>
      <c r="H241" s="80">
        <v>161.969</v>
      </c>
      <c r="I241" s="45">
        <v>1.2</v>
      </c>
      <c r="J241" s="55">
        <v>28</v>
      </c>
      <c r="K241" s="55">
        <f aca="true" t="shared" si="40" ref="K241:K268">(H241*I241*J241)</f>
        <v>5442.1584</v>
      </c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18"/>
      <c r="AG241" s="18"/>
      <c r="AH241" s="18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1:70" s="3" customFormat="1" ht="15.75" customHeight="1" outlineLevel="2">
      <c r="A242" s="27">
        <v>2</v>
      </c>
      <c r="B242" s="41" t="s">
        <v>374</v>
      </c>
      <c r="C242" s="27" t="s">
        <v>526</v>
      </c>
      <c r="D242" s="27" t="s">
        <v>105</v>
      </c>
      <c r="E242" s="28"/>
      <c r="F242" s="142" t="s">
        <v>21</v>
      </c>
      <c r="G242" s="36" t="s">
        <v>14</v>
      </c>
      <c r="H242" s="27">
        <v>2.368</v>
      </c>
      <c r="I242" s="132">
        <v>0.7</v>
      </c>
      <c r="J242" s="55">
        <v>28</v>
      </c>
      <c r="K242" s="55">
        <f t="shared" si="40"/>
        <v>46.41279999999999</v>
      </c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174">
        <f aca="true" t="shared" si="41" ref="AI242:AY242">(AH242+4.64)</f>
        <v>4.64</v>
      </c>
      <c r="AJ242" s="55">
        <f t="shared" si="41"/>
        <v>9.28</v>
      </c>
      <c r="AK242" s="55">
        <f t="shared" si="41"/>
        <v>13.919999999999998</v>
      </c>
      <c r="AL242" s="55">
        <f t="shared" si="41"/>
        <v>18.56</v>
      </c>
      <c r="AM242" s="55">
        <f t="shared" si="41"/>
        <v>23.2</v>
      </c>
      <c r="AN242" s="55">
        <f t="shared" si="41"/>
        <v>27.84</v>
      </c>
      <c r="AO242" s="55">
        <f t="shared" si="41"/>
        <v>32.48</v>
      </c>
      <c r="AP242" s="55">
        <f t="shared" si="41"/>
        <v>37.12</v>
      </c>
      <c r="AQ242" s="55">
        <f t="shared" si="41"/>
        <v>41.76</v>
      </c>
      <c r="AR242" s="55">
        <f t="shared" si="41"/>
        <v>46.4</v>
      </c>
      <c r="AS242" s="55">
        <f t="shared" si="41"/>
        <v>51.04</v>
      </c>
      <c r="AT242" s="55">
        <f t="shared" si="41"/>
        <v>55.68</v>
      </c>
      <c r="AU242" s="55">
        <f t="shared" si="41"/>
        <v>60.32</v>
      </c>
      <c r="AV242" s="55">
        <f t="shared" si="41"/>
        <v>64.96</v>
      </c>
      <c r="AW242" s="55">
        <f t="shared" si="41"/>
        <v>69.6</v>
      </c>
      <c r="AX242" s="55">
        <f t="shared" si="41"/>
        <v>74.24</v>
      </c>
      <c r="AY242" s="55">
        <f t="shared" si="41"/>
        <v>78.88</v>
      </c>
      <c r="AZ242" s="55"/>
      <c r="BA242" s="55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1:70" s="3" customFormat="1" ht="15.75" customHeight="1" outlineLevel="2">
      <c r="A243" s="27">
        <v>3</v>
      </c>
      <c r="B243" s="141" t="s">
        <v>374</v>
      </c>
      <c r="C243" s="39" t="s">
        <v>325</v>
      </c>
      <c r="D243" s="27" t="s">
        <v>367</v>
      </c>
      <c r="E243" s="37" t="s">
        <v>16</v>
      </c>
      <c r="F243" s="35" t="s">
        <v>16</v>
      </c>
      <c r="G243" s="14" t="s">
        <v>307</v>
      </c>
      <c r="H243" s="39">
        <v>2.765</v>
      </c>
      <c r="I243" s="49">
        <v>1.2</v>
      </c>
      <c r="J243" s="55">
        <v>28</v>
      </c>
      <c r="K243" s="55">
        <f t="shared" si="40"/>
        <v>92.904</v>
      </c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174">
        <f>(AH243+9.29)</f>
        <v>9.29</v>
      </c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1:34" s="59" customFormat="1" ht="15.75" customHeight="1" outlineLevel="2">
      <c r="A244" s="27">
        <v>4</v>
      </c>
      <c r="B244" s="41" t="s">
        <v>374</v>
      </c>
      <c r="C244" s="27" t="s">
        <v>543</v>
      </c>
      <c r="D244" s="27" t="s">
        <v>95</v>
      </c>
      <c r="E244" s="28"/>
      <c r="F244" s="141" t="s">
        <v>21</v>
      </c>
      <c r="G244" s="38" t="s">
        <v>33</v>
      </c>
      <c r="H244" s="27">
        <v>16.159</v>
      </c>
      <c r="I244" s="45">
        <v>1.2</v>
      </c>
      <c r="J244" s="55">
        <v>28</v>
      </c>
      <c r="K244" s="55">
        <f t="shared" si="40"/>
        <v>542.9423999999999</v>
      </c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18"/>
      <c r="AH244" s="18"/>
    </row>
    <row r="245" spans="1:34" s="59" customFormat="1" ht="15.75" customHeight="1" outlineLevel="2">
      <c r="A245" s="27">
        <v>5</v>
      </c>
      <c r="B245" s="41" t="s">
        <v>374</v>
      </c>
      <c r="C245" s="27" t="s">
        <v>545</v>
      </c>
      <c r="D245" s="104" t="s">
        <v>43</v>
      </c>
      <c r="E245" s="28"/>
      <c r="F245" s="35" t="s">
        <v>16</v>
      </c>
      <c r="G245" s="38" t="s">
        <v>33</v>
      </c>
      <c r="H245" s="27">
        <v>29.618</v>
      </c>
      <c r="I245" s="45">
        <v>1.2</v>
      </c>
      <c r="J245" s="55">
        <v>28</v>
      </c>
      <c r="K245" s="55">
        <f t="shared" si="40"/>
        <v>995.1647999999999</v>
      </c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18"/>
      <c r="AG245" s="18"/>
      <c r="AH245" s="18"/>
    </row>
    <row r="246" spans="1:53" s="59" customFormat="1" ht="15.75" customHeight="1" outlineLevel="2">
      <c r="A246" s="27">
        <v>6</v>
      </c>
      <c r="B246" s="41" t="s">
        <v>374</v>
      </c>
      <c r="C246" s="27" t="s">
        <v>544</v>
      </c>
      <c r="D246" s="27" t="s">
        <v>95</v>
      </c>
      <c r="E246" s="28"/>
      <c r="F246" s="141" t="s">
        <v>21</v>
      </c>
      <c r="G246" s="38" t="s">
        <v>33</v>
      </c>
      <c r="H246" s="27">
        <v>4.649</v>
      </c>
      <c r="I246" s="132">
        <v>0.7</v>
      </c>
      <c r="J246" s="55">
        <v>28</v>
      </c>
      <c r="K246" s="55">
        <f t="shared" si="40"/>
        <v>91.12039999999999</v>
      </c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174">
        <f>(AH246+9.11)</f>
        <v>9.11</v>
      </c>
      <c r="AJ246" s="55">
        <f aca="true" t="shared" si="42" ref="AJ246:AQ246">(AI246+9.11)</f>
        <v>18.22</v>
      </c>
      <c r="AK246" s="55">
        <f t="shared" si="42"/>
        <v>27.33</v>
      </c>
      <c r="AL246" s="55">
        <f>(AK246+9.11)</f>
        <v>36.44</v>
      </c>
      <c r="AM246" s="55">
        <f t="shared" si="42"/>
        <v>45.55</v>
      </c>
      <c r="AN246" s="55">
        <f t="shared" si="42"/>
        <v>54.66</v>
      </c>
      <c r="AO246" s="55">
        <f t="shared" si="42"/>
        <v>63.769999999999996</v>
      </c>
      <c r="AP246" s="55">
        <f t="shared" si="42"/>
        <v>72.88</v>
      </c>
      <c r="AQ246" s="55">
        <f t="shared" si="42"/>
        <v>81.99</v>
      </c>
      <c r="AR246" s="55">
        <f>(AQ246+9.11)</f>
        <v>91.1</v>
      </c>
      <c r="AS246" s="55">
        <f>(AR246+9.11)</f>
        <v>100.21</v>
      </c>
      <c r="AT246" s="55">
        <f aca="true" t="shared" si="43" ref="AT246:BA246">(AS246+9.11)</f>
        <v>109.32</v>
      </c>
      <c r="AU246" s="55">
        <f t="shared" si="43"/>
        <v>118.42999999999999</v>
      </c>
      <c r="AV246" s="55">
        <f t="shared" si="43"/>
        <v>127.53999999999999</v>
      </c>
      <c r="AW246" s="55">
        <f>(AV246+9.11)</f>
        <v>136.64999999999998</v>
      </c>
      <c r="AX246" s="55">
        <f t="shared" si="43"/>
        <v>145.76</v>
      </c>
      <c r="AY246" s="55">
        <f t="shared" si="43"/>
        <v>154.87</v>
      </c>
      <c r="AZ246" s="55">
        <f t="shared" si="43"/>
        <v>163.98000000000002</v>
      </c>
      <c r="BA246" s="55">
        <f t="shared" si="43"/>
        <v>173.09000000000003</v>
      </c>
    </row>
    <row r="247" spans="1:34" s="59" customFormat="1" ht="15.75" customHeight="1" outlineLevel="2">
      <c r="A247" s="27">
        <v>7</v>
      </c>
      <c r="B247" s="41" t="s">
        <v>374</v>
      </c>
      <c r="C247" s="27" t="s">
        <v>546</v>
      </c>
      <c r="D247" s="27" t="s">
        <v>547</v>
      </c>
      <c r="E247" s="28"/>
      <c r="F247" s="142" t="s">
        <v>11</v>
      </c>
      <c r="G247" s="38" t="s">
        <v>33</v>
      </c>
      <c r="H247" s="27">
        <v>16.286</v>
      </c>
      <c r="I247" s="45">
        <v>1.2</v>
      </c>
      <c r="J247" s="55">
        <v>28</v>
      </c>
      <c r="K247" s="55">
        <f t="shared" si="40"/>
        <v>547.2096</v>
      </c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18"/>
    </row>
    <row r="248" spans="1:34" s="59" customFormat="1" ht="15.75" customHeight="1" outlineLevel="1">
      <c r="A248" s="27"/>
      <c r="B248" s="125" t="s">
        <v>590</v>
      </c>
      <c r="C248" s="27"/>
      <c r="D248" s="104"/>
      <c r="E248" s="28"/>
      <c r="F248" s="35"/>
      <c r="G248" s="38"/>
      <c r="H248" s="90">
        <f>SUBTOTAL(9,H241:H247)</f>
        <v>233.81399999999996</v>
      </c>
      <c r="I248" s="49"/>
      <c r="J248" s="54"/>
      <c r="K248" s="55"/>
      <c r="L248" s="62"/>
      <c r="M248" s="62"/>
      <c r="N248" s="97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</row>
    <row r="249" spans="1:34" s="2" customFormat="1" ht="15.75" customHeight="1" outlineLevel="1">
      <c r="A249" s="39"/>
      <c r="B249" s="36"/>
      <c r="C249" s="39"/>
      <c r="D249" s="39"/>
      <c r="E249" s="37"/>
      <c r="F249" s="35"/>
      <c r="G249" s="36"/>
      <c r="H249" s="39"/>
      <c r="I249" s="49"/>
      <c r="J249" s="54"/>
      <c r="K249" s="55"/>
      <c r="L249" s="62"/>
      <c r="M249" s="62"/>
      <c r="N249" s="97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</row>
    <row r="250" spans="1:70" s="12" customFormat="1" ht="15.75" customHeight="1" outlineLevel="1">
      <c r="A250" s="27"/>
      <c r="B250" s="43"/>
      <c r="C250" s="69"/>
      <c r="D250" s="27"/>
      <c r="E250" s="28"/>
      <c r="F250" s="45"/>
      <c r="G250" s="45"/>
      <c r="H250" s="90"/>
      <c r="I250" s="45"/>
      <c r="J250" s="54"/>
      <c r="K250" s="55"/>
      <c r="L250" s="62"/>
      <c r="M250" s="62"/>
      <c r="N250" s="97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1:11" ht="15.75" customHeight="1" outlineLevel="1">
      <c r="A251" s="139"/>
      <c r="B251" s="141"/>
      <c r="C251" s="69"/>
      <c r="D251" s="27"/>
      <c r="E251" s="28"/>
      <c r="F251" s="142"/>
      <c r="G251" s="142"/>
      <c r="H251" s="27"/>
      <c r="I251" s="45"/>
      <c r="J251" s="54"/>
      <c r="K251" s="55"/>
    </row>
    <row r="252" spans="1:11" ht="15.75" customHeight="1" outlineLevel="1">
      <c r="A252" s="139"/>
      <c r="B252" s="141"/>
      <c r="C252" s="69"/>
      <c r="D252" s="27"/>
      <c r="E252" s="28"/>
      <c r="F252" s="142"/>
      <c r="G252" s="142"/>
      <c r="H252" s="27"/>
      <c r="I252" s="45"/>
      <c r="J252" s="54"/>
      <c r="K252" s="55"/>
    </row>
    <row r="253" spans="1:26" ht="15.75" customHeight="1" outlineLevel="2">
      <c r="A253" s="139">
        <v>1</v>
      </c>
      <c r="B253" s="141" t="s">
        <v>373</v>
      </c>
      <c r="C253" s="143" t="s">
        <v>143</v>
      </c>
      <c r="D253" s="139" t="s">
        <v>30</v>
      </c>
      <c r="E253" s="144" t="s">
        <v>20</v>
      </c>
      <c r="F253" s="141" t="s">
        <v>20</v>
      </c>
      <c r="G253" s="141" t="s">
        <v>28</v>
      </c>
      <c r="H253" s="139">
        <v>2.061</v>
      </c>
      <c r="I253" s="44">
        <v>1.2</v>
      </c>
      <c r="J253" s="55">
        <v>36</v>
      </c>
      <c r="K253" s="55">
        <f t="shared" si="40"/>
        <v>89.03519999999999</v>
      </c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5" ht="15.75" customHeight="1" outlineLevel="2">
      <c r="A254" s="139">
        <v>2</v>
      </c>
      <c r="B254" s="141" t="s">
        <v>373</v>
      </c>
      <c r="C254" s="69" t="s">
        <v>531</v>
      </c>
      <c r="D254" s="27" t="s">
        <v>532</v>
      </c>
      <c r="E254" s="144"/>
      <c r="F254" s="142" t="s">
        <v>11</v>
      </c>
      <c r="G254" s="36" t="s">
        <v>28</v>
      </c>
      <c r="H254" s="27">
        <v>12.037</v>
      </c>
      <c r="I254" s="45">
        <v>1.2</v>
      </c>
      <c r="J254" s="55">
        <v>36</v>
      </c>
      <c r="K254" s="55">
        <f t="shared" si="40"/>
        <v>519.9984</v>
      </c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</row>
    <row r="255" spans="1:70" s="1" customFormat="1" ht="15.75" customHeight="1" outlineLevel="2">
      <c r="A255" s="139">
        <v>3</v>
      </c>
      <c r="B255" s="141" t="s">
        <v>373</v>
      </c>
      <c r="C255" s="39" t="s">
        <v>426</v>
      </c>
      <c r="D255" s="39" t="s">
        <v>53</v>
      </c>
      <c r="E255" s="37" t="s">
        <v>11</v>
      </c>
      <c r="F255" s="35" t="s">
        <v>11</v>
      </c>
      <c r="G255" s="35" t="s">
        <v>14</v>
      </c>
      <c r="H255" s="139">
        <v>12.907</v>
      </c>
      <c r="I255" s="45">
        <v>1.2</v>
      </c>
      <c r="J255" s="55">
        <v>36</v>
      </c>
      <c r="K255" s="55">
        <f t="shared" si="40"/>
        <v>557.5824</v>
      </c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18"/>
      <c r="AB255" s="18"/>
      <c r="AC255" s="18"/>
      <c r="AD255" s="18"/>
      <c r="AE255" s="18"/>
      <c r="AF255" s="18"/>
      <c r="AG255" s="18"/>
      <c r="AH255" s="18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1:70" s="1" customFormat="1" ht="15.75" customHeight="1" outlineLevel="2">
      <c r="A256" s="139">
        <v>4</v>
      </c>
      <c r="B256" s="141" t="s">
        <v>373</v>
      </c>
      <c r="C256" s="39" t="s">
        <v>427</v>
      </c>
      <c r="D256" s="39" t="s">
        <v>53</v>
      </c>
      <c r="E256" s="37" t="s">
        <v>11</v>
      </c>
      <c r="F256" s="35" t="s">
        <v>11</v>
      </c>
      <c r="G256" s="35" t="s">
        <v>14</v>
      </c>
      <c r="H256" s="139">
        <v>4.4</v>
      </c>
      <c r="I256" s="49">
        <v>1.2</v>
      </c>
      <c r="J256" s="55">
        <v>36</v>
      </c>
      <c r="K256" s="55">
        <f t="shared" si="40"/>
        <v>190.08</v>
      </c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18"/>
      <c r="AA256" s="18"/>
      <c r="AB256" s="18"/>
      <c r="AC256" s="18"/>
      <c r="AD256" s="18"/>
      <c r="AE256" s="18"/>
      <c r="AF256" s="18"/>
      <c r="AG256" s="18"/>
      <c r="AH256" s="18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1:70" s="1" customFormat="1" ht="15.75" customHeight="1" outlineLevel="2">
      <c r="A257" s="139">
        <v>5</v>
      </c>
      <c r="B257" s="141" t="s">
        <v>373</v>
      </c>
      <c r="C257" s="143" t="s">
        <v>144</v>
      </c>
      <c r="D257" s="139" t="s">
        <v>38</v>
      </c>
      <c r="E257" s="144" t="s">
        <v>23</v>
      </c>
      <c r="F257" s="141" t="s">
        <v>40</v>
      </c>
      <c r="G257" s="141" t="s">
        <v>28</v>
      </c>
      <c r="H257" s="139">
        <v>19.513</v>
      </c>
      <c r="I257" s="45">
        <v>1.2</v>
      </c>
      <c r="J257" s="55">
        <v>36</v>
      </c>
      <c r="K257" s="55">
        <f t="shared" si="40"/>
        <v>842.9616000000001</v>
      </c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18"/>
      <c r="AA257" s="18"/>
      <c r="AB257" s="18"/>
      <c r="AC257" s="18"/>
      <c r="AD257" s="18"/>
      <c r="AE257" s="18"/>
      <c r="AF257" s="18"/>
      <c r="AG257" s="18"/>
      <c r="AH257" s="18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1:70" s="1" customFormat="1" ht="15.75" customHeight="1" outlineLevel="2">
      <c r="A258" s="139">
        <v>6</v>
      </c>
      <c r="B258" s="141" t="s">
        <v>373</v>
      </c>
      <c r="C258" s="143" t="s">
        <v>145</v>
      </c>
      <c r="D258" s="139" t="s">
        <v>38</v>
      </c>
      <c r="E258" s="144" t="s">
        <v>23</v>
      </c>
      <c r="F258" s="141" t="s">
        <v>40</v>
      </c>
      <c r="G258" s="141" t="s">
        <v>28</v>
      </c>
      <c r="H258" s="139">
        <v>0.429</v>
      </c>
      <c r="I258" s="132">
        <v>0.7</v>
      </c>
      <c r="J258" s="55">
        <v>36</v>
      </c>
      <c r="K258" s="55">
        <f t="shared" si="40"/>
        <v>10.810799999999999</v>
      </c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174">
        <f aca="true" t="shared" si="44" ref="AI258:AO258">(AH258+1.08)</f>
        <v>1.08</v>
      </c>
      <c r="AJ258" s="55">
        <f t="shared" si="44"/>
        <v>2.16</v>
      </c>
      <c r="AK258" s="55">
        <f t="shared" si="44"/>
        <v>3.24</v>
      </c>
      <c r="AL258" s="55">
        <f t="shared" si="44"/>
        <v>4.32</v>
      </c>
      <c r="AM258" s="55">
        <f t="shared" si="44"/>
        <v>5.4</v>
      </c>
      <c r="AN258" s="55">
        <f t="shared" si="44"/>
        <v>6.48</v>
      </c>
      <c r="AO258" s="55">
        <f t="shared" si="44"/>
        <v>7.5600000000000005</v>
      </c>
      <c r="AP258" s="55"/>
      <c r="AQ258" s="55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1:70" s="1" customFormat="1" ht="15.75" customHeight="1" outlineLevel="2">
      <c r="A259" s="139">
        <v>7</v>
      </c>
      <c r="B259" s="141" t="s">
        <v>373</v>
      </c>
      <c r="C259" s="143" t="s">
        <v>146</v>
      </c>
      <c r="D259" s="139" t="s">
        <v>44</v>
      </c>
      <c r="E259" s="144" t="s">
        <v>23</v>
      </c>
      <c r="F259" s="141" t="s">
        <v>40</v>
      </c>
      <c r="G259" s="141" t="s">
        <v>28</v>
      </c>
      <c r="H259" s="77">
        <v>10.689</v>
      </c>
      <c r="I259" s="45">
        <v>1.2</v>
      </c>
      <c r="J259" s="55">
        <v>36</v>
      </c>
      <c r="K259" s="55">
        <f t="shared" si="40"/>
        <v>461.76480000000004</v>
      </c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18"/>
      <c r="AB259" s="18"/>
      <c r="AC259" s="18"/>
      <c r="AD259" s="18"/>
      <c r="AE259" s="18"/>
      <c r="AF259" s="18"/>
      <c r="AG259" s="18"/>
      <c r="AH259" s="18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1:70" s="1" customFormat="1" ht="15.75" customHeight="1" outlineLevel="2">
      <c r="A260" s="139">
        <v>8</v>
      </c>
      <c r="B260" s="141" t="s">
        <v>373</v>
      </c>
      <c r="C260" s="143" t="s">
        <v>147</v>
      </c>
      <c r="D260" s="139" t="s">
        <v>45</v>
      </c>
      <c r="E260" s="144" t="s">
        <v>23</v>
      </c>
      <c r="F260" s="141" t="s">
        <v>40</v>
      </c>
      <c r="G260" s="141" t="s">
        <v>28</v>
      </c>
      <c r="H260" s="139">
        <v>5.392</v>
      </c>
      <c r="I260" s="132">
        <v>0.7</v>
      </c>
      <c r="J260" s="55">
        <v>36</v>
      </c>
      <c r="K260" s="55">
        <f t="shared" si="40"/>
        <v>135.8784</v>
      </c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174">
        <f>(AH260+13.59)</f>
        <v>13.59</v>
      </c>
      <c r="AJ260" s="55">
        <f>(AI260+13.59)</f>
        <v>27.18</v>
      </c>
      <c r="AK260" s="55">
        <f>(AJ260+13.59)</f>
        <v>40.769999999999996</v>
      </c>
      <c r="AL260" s="55">
        <f>(AK260+13.59)</f>
        <v>54.36</v>
      </c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1:35" s="172" customFormat="1" ht="15.75" customHeight="1" outlineLevel="2">
      <c r="A261" s="139">
        <v>9</v>
      </c>
      <c r="B261" s="141" t="s">
        <v>373</v>
      </c>
      <c r="C261" s="210" t="s">
        <v>533</v>
      </c>
      <c r="D261" s="210" t="s">
        <v>38</v>
      </c>
      <c r="E261" s="211" t="s">
        <v>40</v>
      </c>
      <c r="F261" s="141" t="s">
        <v>40</v>
      </c>
      <c r="G261" s="141" t="s">
        <v>28</v>
      </c>
      <c r="H261" s="210">
        <v>142.488</v>
      </c>
      <c r="I261" s="142">
        <v>1.2</v>
      </c>
      <c r="J261" s="55">
        <v>36</v>
      </c>
      <c r="K261" s="153">
        <f t="shared" si="40"/>
        <v>6155.4816</v>
      </c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228"/>
      <c r="AA261" s="228"/>
      <c r="AB261" s="222"/>
      <c r="AC261" s="222"/>
      <c r="AD261" s="222"/>
      <c r="AE261" s="222"/>
      <c r="AF261" s="222"/>
      <c r="AG261" s="222"/>
      <c r="AH261" s="222"/>
      <c r="AI261" s="219"/>
    </row>
    <row r="262" spans="1:34" s="59" customFormat="1" ht="15.75" customHeight="1" outlineLevel="1">
      <c r="A262" s="166"/>
      <c r="B262" s="167" t="s">
        <v>590</v>
      </c>
      <c r="C262" s="168"/>
      <c r="D262" s="154"/>
      <c r="E262" s="169"/>
      <c r="F262" s="170"/>
      <c r="G262" s="61"/>
      <c r="H262" s="171">
        <f>SUM(H253:H261)</f>
        <v>209.916</v>
      </c>
      <c r="I262" s="157"/>
      <c r="J262" s="159"/>
      <c r="K262" s="227"/>
      <c r="L262" s="62"/>
      <c r="M262" s="62"/>
      <c r="N262" s="97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</row>
    <row r="263" spans="1:70" s="1" customFormat="1" ht="15.75" customHeight="1" outlineLevel="1">
      <c r="A263" s="139"/>
      <c r="B263" s="43"/>
      <c r="C263" s="143"/>
      <c r="D263" s="139"/>
      <c r="E263" s="144"/>
      <c r="F263" s="141"/>
      <c r="G263" s="141"/>
      <c r="H263" s="88"/>
      <c r="I263" s="44"/>
      <c r="J263" s="54"/>
      <c r="K263" s="55"/>
      <c r="L263" s="62"/>
      <c r="M263" s="62"/>
      <c r="N263" s="97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1:70" s="3" customFormat="1" ht="15.75" customHeight="1" outlineLevel="1">
      <c r="A264" s="139"/>
      <c r="B264" s="43"/>
      <c r="C264" s="68"/>
      <c r="D264" s="139"/>
      <c r="E264" s="144"/>
      <c r="F264" s="141"/>
      <c r="G264" s="141"/>
      <c r="H264" s="139"/>
      <c r="I264" s="44"/>
      <c r="J264" s="54"/>
      <c r="K264" s="55"/>
      <c r="L264" s="62"/>
      <c r="M264" s="62"/>
      <c r="N264" s="97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1:11" ht="15.75" customHeight="1" outlineLevel="1">
      <c r="A265" s="139"/>
      <c r="B265" s="141"/>
      <c r="C265" s="66"/>
      <c r="D265" s="139"/>
      <c r="E265" s="144"/>
      <c r="F265" s="141"/>
      <c r="G265" s="141"/>
      <c r="H265" s="139"/>
      <c r="I265" s="44"/>
      <c r="J265" s="54"/>
      <c r="K265" s="55"/>
    </row>
    <row r="266" spans="1:70" s="12" customFormat="1" ht="15.75" customHeight="1" outlineLevel="2">
      <c r="A266" s="27">
        <v>1</v>
      </c>
      <c r="B266" s="141" t="s">
        <v>372</v>
      </c>
      <c r="C266" s="39" t="s">
        <v>323</v>
      </c>
      <c r="D266" s="139" t="s">
        <v>10</v>
      </c>
      <c r="E266" s="37" t="s">
        <v>11</v>
      </c>
      <c r="F266" s="49" t="s">
        <v>11</v>
      </c>
      <c r="G266" s="38" t="s">
        <v>28</v>
      </c>
      <c r="H266" s="39">
        <v>1.242</v>
      </c>
      <c r="I266" s="49">
        <v>1.2</v>
      </c>
      <c r="J266" s="55">
        <v>36</v>
      </c>
      <c r="K266" s="55">
        <f t="shared" si="40"/>
        <v>53.654399999999995</v>
      </c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1:70" s="1" customFormat="1" ht="15.75" customHeight="1" outlineLevel="2">
      <c r="A267" s="27">
        <v>2</v>
      </c>
      <c r="B267" s="141" t="s">
        <v>372</v>
      </c>
      <c r="C267" s="39" t="s">
        <v>324</v>
      </c>
      <c r="D267" s="139" t="s">
        <v>10</v>
      </c>
      <c r="E267" s="37" t="s">
        <v>18</v>
      </c>
      <c r="F267" s="49" t="s">
        <v>18</v>
      </c>
      <c r="G267" s="36" t="s">
        <v>28</v>
      </c>
      <c r="H267" s="39">
        <v>1.291</v>
      </c>
      <c r="I267" s="132">
        <v>0.7</v>
      </c>
      <c r="J267" s="55">
        <v>36</v>
      </c>
      <c r="K267" s="55">
        <f t="shared" si="40"/>
        <v>32.533199999999994</v>
      </c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174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1:70" s="1" customFormat="1" ht="15.75" customHeight="1" outlineLevel="2">
      <c r="A268" s="27">
        <v>3</v>
      </c>
      <c r="B268" s="108" t="s">
        <v>372</v>
      </c>
      <c r="C268" s="27" t="s">
        <v>479</v>
      </c>
      <c r="D268" s="104" t="s">
        <v>10</v>
      </c>
      <c r="E268" s="41" t="s">
        <v>18</v>
      </c>
      <c r="F268" s="35" t="s">
        <v>18</v>
      </c>
      <c r="G268" s="103" t="s">
        <v>28</v>
      </c>
      <c r="H268" s="27">
        <v>5.753</v>
      </c>
      <c r="I268" s="132">
        <v>0.7</v>
      </c>
      <c r="J268" s="55">
        <v>36</v>
      </c>
      <c r="K268" s="55">
        <f t="shared" si="40"/>
        <v>144.9756</v>
      </c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174">
        <f aca="true" t="shared" si="45" ref="AI268:AQ268">(AH268+14.5)</f>
        <v>14.5</v>
      </c>
      <c r="AJ268" s="55">
        <f t="shared" si="45"/>
        <v>29</v>
      </c>
      <c r="AK268" s="55">
        <f t="shared" si="45"/>
        <v>43.5</v>
      </c>
      <c r="AL268" s="55">
        <f t="shared" si="45"/>
        <v>58</v>
      </c>
      <c r="AM268" s="55">
        <f t="shared" si="45"/>
        <v>72.5</v>
      </c>
      <c r="AN268" s="55">
        <f t="shared" si="45"/>
        <v>87</v>
      </c>
      <c r="AO268" s="55">
        <f t="shared" si="45"/>
        <v>101.5</v>
      </c>
      <c r="AP268" s="55">
        <f t="shared" si="45"/>
        <v>116</v>
      </c>
      <c r="AQ268" s="55">
        <f t="shared" si="45"/>
        <v>130.5</v>
      </c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1:34" s="59" customFormat="1" ht="15.75" customHeight="1" outlineLevel="1">
      <c r="A269" s="27"/>
      <c r="B269" s="125" t="s">
        <v>590</v>
      </c>
      <c r="C269" s="27"/>
      <c r="D269" s="104"/>
      <c r="E269" s="41"/>
      <c r="F269" s="35"/>
      <c r="G269" s="126"/>
      <c r="H269" s="58">
        <f>SUBTOTAL(9,H266:H268)</f>
        <v>8.286</v>
      </c>
      <c r="I269" s="49"/>
      <c r="J269" s="54"/>
      <c r="K269" s="55"/>
      <c r="L269" s="62"/>
      <c r="M269" s="62"/>
      <c r="N269" s="97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</row>
    <row r="270" spans="1:70" s="1" customFormat="1" ht="15.75" customHeight="1" outlineLevel="1">
      <c r="A270" s="27"/>
      <c r="B270" s="31"/>
      <c r="C270" s="27"/>
      <c r="D270" s="27"/>
      <c r="E270" s="41"/>
      <c r="F270" s="45"/>
      <c r="G270" s="38"/>
      <c r="H270" s="90"/>
      <c r="I270" s="45"/>
      <c r="J270" s="54"/>
      <c r="K270" s="55"/>
      <c r="L270" s="62"/>
      <c r="M270" s="62"/>
      <c r="N270" s="97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1:70" s="12" customFormat="1" ht="15.75" customHeight="1" outlineLevel="1">
      <c r="A271" s="39"/>
      <c r="B271" s="43"/>
      <c r="C271" s="39"/>
      <c r="D271" s="139"/>
      <c r="E271" s="37"/>
      <c r="F271" s="49"/>
      <c r="G271" s="38"/>
      <c r="H271" s="39"/>
      <c r="I271" s="49"/>
      <c r="J271" s="54"/>
      <c r="K271" s="55"/>
      <c r="L271" s="62"/>
      <c r="M271" s="62"/>
      <c r="N271" s="97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1:34" s="2" customFormat="1" ht="15.75" customHeight="1" outlineLevel="1">
      <c r="A272" s="39"/>
      <c r="B272" s="36"/>
      <c r="C272" s="39"/>
      <c r="D272" s="139"/>
      <c r="E272" s="37"/>
      <c r="F272" s="49"/>
      <c r="G272" s="38"/>
      <c r="H272" s="39"/>
      <c r="I272" s="49"/>
      <c r="J272" s="54"/>
      <c r="K272" s="55"/>
      <c r="L272" s="62"/>
      <c r="M272" s="62"/>
      <c r="N272" s="97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</row>
    <row r="273" spans="1:34" s="2" customFormat="1" ht="15.75" customHeight="1" outlineLevel="1">
      <c r="A273" s="39"/>
      <c r="B273" s="36"/>
      <c r="C273" s="39"/>
      <c r="D273" s="139"/>
      <c r="E273" s="37"/>
      <c r="F273" s="49"/>
      <c r="G273" s="38"/>
      <c r="H273" s="39"/>
      <c r="I273" s="49"/>
      <c r="J273" s="54"/>
      <c r="K273" s="55"/>
      <c r="L273" s="62"/>
      <c r="M273" s="62"/>
      <c r="N273" s="97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</row>
    <row r="274" spans="1:70" s="3" customFormat="1" ht="15.75" customHeight="1" outlineLevel="2">
      <c r="A274" s="139">
        <v>1</v>
      </c>
      <c r="B274" s="141" t="s">
        <v>371</v>
      </c>
      <c r="C274" s="24" t="s">
        <v>387</v>
      </c>
      <c r="D274" s="27" t="s">
        <v>46</v>
      </c>
      <c r="E274" s="28" t="s">
        <v>27</v>
      </c>
      <c r="F274" s="142" t="s">
        <v>40</v>
      </c>
      <c r="G274" s="142" t="s">
        <v>47</v>
      </c>
      <c r="H274" s="27">
        <v>10.601</v>
      </c>
      <c r="I274" s="45">
        <v>1.2</v>
      </c>
      <c r="J274" s="55">
        <v>15</v>
      </c>
      <c r="K274" s="55">
        <f aca="true" t="shared" si="46" ref="K274:K325">(H274*I274*J274)</f>
        <v>190.818</v>
      </c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174">
        <f aca="true" t="shared" si="47" ref="AI274:BB274">(AH274+19.08)</f>
        <v>19.08</v>
      </c>
      <c r="AJ274" s="55">
        <f t="shared" si="47"/>
        <v>38.16</v>
      </c>
      <c r="AK274" s="55">
        <f t="shared" si="47"/>
        <v>57.239999999999995</v>
      </c>
      <c r="AL274" s="55">
        <f t="shared" si="47"/>
        <v>76.32</v>
      </c>
      <c r="AM274" s="55">
        <f t="shared" si="47"/>
        <v>95.39999999999999</v>
      </c>
      <c r="AN274" s="55">
        <f t="shared" si="47"/>
        <v>114.47999999999999</v>
      </c>
      <c r="AO274" s="55">
        <f t="shared" si="47"/>
        <v>133.56</v>
      </c>
      <c r="AP274" s="55">
        <f t="shared" si="47"/>
        <v>152.64</v>
      </c>
      <c r="AQ274" s="55">
        <f t="shared" si="47"/>
        <v>171.71999999999997</v>
      </c>
      <c r="AR274" s="55">
        <f t="shared" si="47"/>
        <v>190.79999999999995</v>
      </c>
      <c r="AS274" s="55">
        <f t="shared" si="47"/>
        <v>209.87999999999994</v>
      </c>
      <c r="AT274" s="55">
        <f t="shared" si="47"/>
        <v>228.95999999999992</v>
      </c>
      <c r="AU274" s="55">
        <f t="shared" si="47"/>
        <v>248.0399999999999</v>
      </c>
      <c r="AV274" s="55">
        <f t="shared" si="47"/>
        <v>267.1199999999999</v>
      </c>
      <c r="AW274" s="55">
        <f t="shared" si="47"/>
        <v>286.1999999999999</v>
      </c>
      <c r="AX274" s="55">
        <f t="shared" si="47"/>
        <v>305.27999999999986</v>
      </c>
      <c r="AY274" s="55">
        <f t="shared" si="47"/>
        <v>324.35999999999984</v>
      </c>
      <c r="AZ274" s="55">
        <f t="shared" si="47"/>
        <v>343.4399999999998</v>
      </c>
      <c r="BA274" s="55">
        <f t="shared" si="47"/>
        <v>362.5199999999998</v>
      </c>
      <c r="BB274" s="55">
        <f t="shared" si="47"/>
        <v>381.5999999999998</v>
      </c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1:96" s="3" customFormat="1" ht="15.75" customHeight="1" outlineLevel="2">
      <c r="A275" s="139">
        <v>2</v>
      </c>
      <c r="B275" s="141" t="s">
        <v>371</v>
      </c>
      <c r="C275" s="27" t="s">
        <v>388</v>
      </c>
      <c r="D275" s="27" t="s">
        <v>383</v>
      </c>
      <c r="E275" s="37" t="s">
        <v>21</v>
      </c>
      <c r="F275" s="35" t="s">
        <v>21</v>
      </c>
      <c r="G275" s="36" t="s">
        <v>28</v>
      </c>
      <c r="H275" s="39">
        <v>3.911</v>
      </c>
      <c r="I275" s="132">
        <v>0.7</v>
      </c>
      <c r="J275" s="55">
        <v>15</v>
      </c>
      <c r="K275" s="55">
        <f t="shared" si="46"/>
        <v>41.0655</v>
      </c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174">
        <f aca="true" t="shared" si="48" ref="AI275:BX275">(AH275+4.11)</f>
        <v>4.11</v>
      </c>
      <c r="AJ275" s="55">
        <f t="shared" si="48"/>
        <v>8.22</v>
      </c>
      <c r="AK275" s="55">
        <f t="shared" si="48"/>
        <v>12.330000000000002</v>
      </c>
      <c r="AL275" s="55">
        <f t="shared" si="48"/>
        <v>16.44</v>
      </c>
      <c r="AM275" s="55">
        <f t="shared" si="48"/>
        <v>20.55</v>
      </c>
      <c r="AN275" s="55">
        <f t="shared" si="48"/>
        <v>24.66</v>
      </c>
      <c r="AO275" s="55">
        <f t="shared" si="48"/>
        <v>28.77</v>
      </c>
      <c r="AP275" s="55">
        <f t="shared" si="48"/>
        <v>32.88</v>
      </c>
      <c r="AQ275" s="55">
        <f t="shared" si="48"/>
        <v>36.99</v>
      </c>
      <c r="AR275" s="55">
        <f t="shared" si="48"/>
        <v>41.1</v>
      </c>
      <c r="AS275" s="55">
        <f t="shared" si="48"/>
        <v>45.21</v>
      </c>
      <c r="AT275" s="55">
        <f t="shared" si="48"/>
        <v>49.32</v>
      </c>
      <c r="AU275" s="55">
        <f t="shared" si="48"/>
        <v>53.43</v>
      </c>
      <c r="AV275" s="55">
        <f t="shared" si="48"/>
        <v>57.54</v>
      </c>
      <c r="AW275" s="55">
        <f t="shared" si="48"/>
        <v>61.65</v>
      </c>
      <c r="AX275" s="55">
        <f t="shared" si="48"/>
        <v>65.76</v>
      </c>
      <c r="AY275" s="55">
        <f t="shared" si="48"/>
        <v>69.87</v>
      </c>
      <c r="AZ275" s="55">
        <f t="shared" si="48"/>
        <v>73.98</v>
      </c>
      <c r="BA275" s="55">
        <f t="shared" si="48"/>
        <v>78.09</v>
      </c>
      <c r="BB275" s="55">
        <f t="shared" si="48"/>
        <v>82.2</v>
      </c>
      <c r="BC275" s="55">
        <f t="shared" si="48"/>
        <v>86.31</v>
      </c>
      <c r="BD275" s="55">
        <f t="shared" si="48"/>
        <v>90.42</v>
      </c>
      <c r="BE275" s="55">
        <f t="shared" si="48"/>
        <v>94.53</v>
      </c>
      <c r="BF275" s="55">
        <f t="shared" si="48"/>
        <v>98.64</v>
      </c>
      <c r="BG275" s="55">
        <f t="shared" si="48"/>
        <v>102.75</v>
      </c>
      <c r="BH275" s="55">
        <f t="shared" si="48"/>
        <v>106.86</v>
      </c>
      <c r="BI275" s="55">
        <f t="shared" si="48"/>
        <v>110.97</v>
      </c>
      <c r="BJ275" s="55">
        <f t="shared" si="48"/>
        <v>115.08</v>
      </c>
      <c r="BK275" s="55">
        <f t="shared" si="48"/>
        <v>119.19</v>
      </c>
      <c r="BL275" s="55">
        <f t="shared" si="48"/>
        <v>123.3</v>
      </c>
      <c r="BM275" s="55">
        <f t="shared" si="48"/>
        <v>127.41</v>
      </c>
      <c r="BN275" s="55">
        <f t="shared" si="48"/>
        <v>131.52</v>
      </c>
      <c r="BO275" s="55">
        <f t="shared" si="48"/>
        <v>135.63000000000002</v>
      </c>
      <c r="BP275" s="55">
        <f t="shared" si="48"/>
        <v>139.74000000000004</v>
      </c>
      <c r="BQ275" s="55">
        <f t="shared" si="48"/>
        <v>143.85000000000005</v>
      </c>
      <c r="BR275" s="55">
        <f t="shared" si="48"/>
        <v>147.96000000000006</v>
      </c>
      <c r="BS275" s="55">
        <f t="shared" si="48"/>
        <v>152.07000000000008</v>
      </c>
      <c r="BT275" s="55">
        <f t="shared" si="48"/>
        <v>156.1800000000001</v>
      </c>
      <c r="BU275" s="55">
        <f t="shared" si="48"/>
        <v>160.2900000000001</v>
      </c>
      <c r="BV275" s="55">
        <f t="shared" si="48"/>
        <v>164.40000000000012</v>
      </c>
      <c r="BW275" s="55">
        <f t="shared" si="48"/>
        <v>168.51000000000013</v>
      </c>
      <c r="BX275" s="55">
        <f t="shared" si="48"/>
        <v>172.62000000000015</v>
      </c>
      <c r="BY275" s="55">
        <f aca="true" t="shared" si="49" ref="BY275:CR275">(BX275+4.11)</f>
        <v>176.73000000000016</v>
      </c>
      <c r="BZ275" s="55">
        <f t="shared" si="49"/>
        <v>180.84000000000017</v>
      </c>
      <c r="CA275" s="55">
        <f t="shared" si="49"/>
        <v>184.9500000000002</v>
      </c>
      <c r="CB275" s="55">
        <f t="shared" si="49"/>
        <v>189.0600000000002</v>
      </c>
      <c r="CC275" s="55">
        <f t="shared" si="49"/>
        <v>193.17000000000021</v>
      </c>
      <c r="CD275" s="55">
        <f t="shared" si="49"/>
        <v>197.28000000000023</v>
      </c>
      <c r="CE275" s="55">
        <f t="shared" si="49"/>
        <v>201.39000000000024</v>
      </c>
      <c r="CF275" s="55">
        <f t="shared" si="49"/>
        <v>205.50000000000026</v>
      </c>
      <c r="CG275" s="55">
        <f t="shared" si="49"/>
        <v>209.61000000000027</v>
      </c>
      <c r="CH275" s="55">
        <f t="shared" si="49"/>
        <v>213.72000000000028</v>
      </c>
      <c r="CI275" s="55">
        <f t="shared" si="49"/>
        <v>217.8300000000003</v>
      </c>
      <c r="CJ275" s="55">
        <f t="shared" si="49"/>
        <v>221.9400000000003</v>
      </c>
      <c r="CK275" s="55">
        <f t="shared" si="49"/>
        <v>226.05000000000032</v>
      </c>
      <c r="CL275" s="55">
        <f t="shared" si="49"/>
        <v>230.16000000000034</v>
      </c>
      <c r="CM275" s="55">
        <f t="shared" si="49"/>
        <v>234.27000000000035</v>
      </c>
      <c r="CN275" s="55">
        <f t="shared" si="49"/>
        <v>238.38000000000036</v>
      </c>
      <c r="CO275" s="55">
        <f t="shared" si="49"/>
        <v>242.49000000000038</v>
      </c>
      <c r="CP275" s="55">
        <f t="shared" si="49"/>
        <v>246.6000000000004</v>
      </c>
      <c r="CQ275" s="55">
        <f t="shared" si="49"/>
        <v>250.7100000000004</v>
      </c>
      <c r="CR275" s="55">
        <f t="shared" si="49"/>
        <v>254.82000000000042</v>
      </c>
    </row>
    <row r="276" spans="1:96" s="12" customFormat="1" ht="15.75" customHeight="1" outlineLevel="2">
      <c r="A276" s="139">
        <v>3</v>
      </c>
      <c r="B276" s="141" t="s">
        <v>371</v>
      </c>
      <c r="C276" s="69" t="s">
        <v>389</v>
      </c>
      <c r="D276" s="27" t="s">
        <v>384</v>
      </c>
      <c r="E276" s="37" t="s">
        <v>40</v>
      </c>
      <c r="F276" s="35" t="s">
        <v>40</v>
      </c>
      <c r="G276" s="38" t="s">
        <v>28</v>
      </c>
      <c r="H276" s="39">
        <v>1.006</v>
      </c>
      <c r="I276" s="132">
        <v>0.7</v>
      </c>
      <c r="J276" s="55">
        <v>15</v>
      </c>
      <c r="K276" s="55">
        <f t="shared" si="46"/>
        <v>10.562999999999999</v>
      </c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174">
        <f aca="true" t="shared" si="50" ref="AI276:BL276">(AH276+1.06)</f>
        <v>1.06</v>
      </c>
      <c r="AJ276" s="55">
        <f t="shared" si="50"/>
        <v>2.12</v>
      </c>
      <c r="AK276" s="55">
        <f t="shared" si="50"/>
        <v>3.18</v>
      </c>
      <c r="AL276" s="55">
        <f t="shared" si="50"/>
        <v>4.24</v>
      </c>
      <c r="AM276" s="55">
        <f t="shared" si="50"/>
        <v>5.300000000000001</v>
      </c>
      <c r="AN276" s="55">
        <f t="shared" si="50"/>
        <v>6.360000000000001</v>
      </c>
      <c r="AO276" s="55">
        <f t="shared" si="50"/>
        <v>7.420000000000002</v>
      </c>
      <c r="AP276" s="55">
        <f t="shared" si="50"/>
        <v>8.480000000000002</v>
      </c>
      <c r="AQ276" s="55">
        <f t="shared" si="50"/>
        <v>9.540000000000003</v>
      </c>
      <c r="AR276" s="55">
        <f t="shared" si="50"/>
        <v>10.600000000000003</v>
      </c>
      <c r="AS276" s="55">
        <f t="shared" si="50"/>
        <v>11.660000000000004</v>
      </c>
      <c r="AT276" s="55">
        <f t="shared" si="50"/>
        <v>12.720000000000004</v>
      </c>
      <c r="AU276" s="55">
        <f t="shared" si="50"/>
        <v>13.780000000000005</v>
      </c>
      <c r="AV276" s="55">
        <f t="shared" si="50"/>
        <v>14.840000000000005</v>
      </c>
      <c r="AW276" s="55">
        <f t="shared" si="50"/>
        <v>15.900000000000006</v>
      </c>
      <c r="AX276" s="55">
        <f t="shared" si="50"/>
        <v>16.960000000000004</v>
      </c>
      <c r="AY276" s="55">
        <f t="shared" si="50"/>
        <v>18.020000000000003</v>
      </c>
      <c r="AZ276" s="55">
        <f t="shared" si="50"/>
        <v>19.080000000000002</v>
      </c>
      <c r="BA276" s="55">
        <f t="shared" si="50"/>
        <v>20.14</v>
      </c>
      <c r="BB276" s="55">
        <f t="shared" si="50"/>
        <v>21.2</v>
      </c>
      <c r="BC276" s="55">
        <f t="shared" si="50"/>
        <v>22.259999999999998</v>
      </c>
      <c r="BD276" s="55">
        <f t="shared" si="50"/>
        <v>23.319999999999997</v>
      </c>
      <c r="BE276" s="55">
        <f t="shared" si="50"/>
        <v>24.379999999999995</v>
      </c>
      <c r="BF276" s="55">
        <f t="shared" si="50"/>
        <v>25.439999999999994</v>
      </c>
      <c r="BG276" s="55">
        <f t="shared" si="50"/>
        <v>26.499999999999993</v>
      </c>
      <c r="BH276" s="55">
        <f t="shared" si="50"/>
        <v>27.55999999999999</v>
      </c>
      <c r="BI276" s="55">
        <f t="shared" si="50"/>
        <v>28.61999999999999</v>
      </c>
      <c r="BJ276" s="55">
        <f t="shared" si="50"/>
        <v>29.67999999999999</v>
      </c>
      <c r="BK276" s="55">
        <f t="shared" si="50"/>
        <v>30.739999999999988</v>
      </c>
      <c r="BL276" s="55">
        <f t="shared" si="50"/>
        <v>31.799999999999986</v>
      </c>
      <c r="BM276" s="55">
        <f>(BL276+1.06)</f>
        <v>32.859999999999985</v>
      </c>
      <c r="BN276" s="55">
        <f>(BM276+1.06)</f>
        <v>33.91999999999999</v>
      </c>
      <c r="BO276" s="55">
        <f>(BN276+1.06)</f>
        <v>34.97999999999999</v>
      </c>
      <c r="BP276" s="55">
        <f>(BO276+1.06)</f>
        <v>36.03999999999999</v>
      </c>
      <c r="BQ276" s="55">
        <f aca="true" t="shared" si="51" ref="BQ276:CR276">(BP276+1.06)</f>
        <v>37.099999999999994</v>
      </c>
      <c r="BR276" s="55">
        <f t="shared" si="51"/>
        <v>38.16</v>
      </c>
      <c r="BS276" s="55">
        <f t="shared" si="51"/>
        <v>39.22</v>
      </c>
      <c r="BT276" s="55">
        <f t="shared" si="51"/>
        <v>40.28</v>
      </c>
      <c r="BU276" s="55">
        <f t="shared" si="51"/>
        <v>41.34</v>
      </c>
      <c r="BV276" s="55">
        <f t="shared" si="51"/>
        <v>42.400000000000006</v>
      </c>
      <c r="BW276" s="55">
        <f t="shared" si="51"/>
        <v>43.46000000000001</v>
      </c>
      <c r="BX276" s="55">
        <f t="shared" si="51"/>
        <v>44.52000000000001</v>
      </c>
      <c r="BY276" s="55">
        <f t="shared" si="51"/>
        <v>45.58000000000001</v>
      </c>
      <c r="BZ276" s="55">
        <f t="shared" si="51"/>
        <v>46.640000000000015</v>
      </c>
      <c r="CA276" s="55">
        <f t="shared" si="51"/>
        <v>47.70000000000002</v>
      </c>
      <c r="CB276" s="55">
        <f t="shared" si="51"/>
        <v>48.76000000000002</v>
      </c>
      <c r="CC276" s="55">
        <f t="shared" si="51"/>
        <v>49.82000000000002</v>
      </c>
      <c r="CD276" s="55">
        <f t="shared" si="51"/>
        <v>50.880000000000024</v>
      </c>
      <c r="CE276" s="55">
        <f t="shared" si="51"/>
        <v>51.940000000000026</v>
      </c>
      <c r="CF276" s="55">
        <f t="shared" si="51"/>
        <v>53.00000000000003</v>
      </c>
      <c r="CG276" s="55">
        <f t="shared" si="51"/>
        <v>54.06000000000003</v>
      </c>
      <c r="CH276" s="55">
        <f t="shared" si="51"/>
        <v>55.12000000000003</v>
      </c>
      <c r="CI276" s="55">
        <f t="shared" si="51"/>
        <v>56.180000000000035</v>
      </c>
      <c r="CJ276" s="55">
        <f t="shared" si="51"/>
        <v>57.24000000000004</v>
      </c>
      <c r="CK276" s="55">
        <f t="shared" si="51"/>
        <v>58.30000000000004</v>
      </c>
      <c r="CL276" s="55">
        <f t="shared" si="51"/>
        <v>59.36000000000004</v>
      </c>
      <c r="CM276" s="55">
        <f t="shared" si="51"/>
        <v>60.420000000000044</v>
      </c>
      <c r="CN276" s="55">
        <f t="shared" si="51"/>
        <v>61.48000000000005</v>
      </c>
      <c r="CO276" s="55">
        <f t="shared" si="51"/>
        <v>62.54000000000005</v>
      </c>
      <c r="CP276" s="55">
        <f t="shared" si="51"/>
        <v>63.60000000000005</v>
      </c>
      <c r="CQ276" s="55">
        <f t="shared" si="51"/>
        <v>64.66000000000005</v>
      </c>
      <c r="CR276" s="55">
        <f t="shared" si="51"/>
        <v>65.72000000000006</v>
      </c>
    </row>
    <row r="277" spans="1:96" s="12" customFormat="1" ht="15.75" customHeight="1" outlineLevel="2">
      <c r="A277" s="139">
        <v>4</v>
      </c>
      <c r="B277" s="141" t="s">
        <v>371</v>
      </c>
      <c r="C277" s="69" t="s">
        <v>390</v>
      </c>
      <c r="D277" s="27" t="s">
        <v>109</v>
      </c>
      <c r="E277" s="37" t="s">
        <v>40</v>
      </c>
      <c r="F277" s="49" t="s">
        <v>40</v>
      </c>
      <c r="G277" s="38" t="s">
        <v>28</v>
      </c>
      <c r="H277" s="78">
        <v>1.75</v>
      </c>
      <c r="I277" s="132">
        <v>0.7</v>
      </c>
      <c r="J277" s="55">
        <v>15</v>
      </c>
      <c r="K277" s="55">
        <f t="shared" si="46"/>
        <v>18.374999999999996</v>
      </c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174">
        <f aca="true" t="shared" si="52" ref="AI277:BL277">(AH277+1.84)</f>
        <v>1.84</v>
      </c>
      <c r="AJ277" s="55">
        <f t="shared" si="52"/>
        <v>3.68</v>
      </c>
      <c r="AK277" s="55">
        <f t="shared" si="52"/>
        <v>5.5200000000000005</v>
      </c>
      <c r="AL277" s="55">
        <f t="shared" si="52"/>
        <v>7.36</v>
      </c>
      <c r="AM277" s="55">
        <f t="shared" si="52"/>
        <v>9.200000000000001</v>
      </c>
      <c r="AN277" s="55">
        <f t="shared" si="52"/>
        <v>11.040000000000001</v>
      </c>
      <c r="AO277" s="55">
        <f t="shared" si="52"/>
        <v>12.88</v>
      </c>
      <c r="AP277" s="55">
        <f t="shared" si="52"/>
        <v>14.72</v>
      </c>
      <c r="AQ277" s="55">
        <f t="shared" si="52"/>
        <v>16.560000000000002</v>
      </c>
      <c r="AR277" s="55">
        <f t="shared" si="52"/>
        <v>18.400000000000002</v>
      </c>
      <c r="AS277" s="55">
        <f t="shared" si="52"/>
        <v>20.240000000000002</v>
      </c>
      <c r="AT277" s="55">
        <f t="shared" si="52"/>
        <v>22.080000000000002</v>
      </c>
      <c r="AU277" s="55">
        <f t="shared" si="52"/>
        <v>23.92</v>
      </c>
      <c r="AV277" s="55">
        <f t="shared" si="52"/>
        <v>25.76</v>
      </c>
      <c r="AW277" s="55">
        <f t="shared" si="52"/>
        <v>27.6</v>
      </c>
      <c r="AX277" s="55">
        <f t="shared" si="52"/>
        <v>29.44</v>
      </c>
      <c r="AY277" s="55">
        <f t="shared" si="52"/>
        <v>31.28</v>
      </c>
      <c r="AZ277" s="55">
        <f t="shared" si="52"/>
        <v>33.120000000000005</v>
      </c>
      <c r="BA277" s="55">
        <f t="shared" si="52"/>
        <v>34.96000000000001</v>
      </c>
      <c r="BB277" s="55">
        <f t="shared" si="52"/>
        <v>36.80000000000001</v>
      </c>
      <c r="BC277" s="55">
        <f t="shared" si="52"/>
        <v>38.640000000000015</v>
      </c>
      <c r="BD277" s="55">
        <f t="shared" si="52"/>
        <v>40.48000000000002</v>
      </c>
      <c r="BE277" s="55">
        <f t="shared" si="52"/>
        <v>42.32000000000002</v>
      </c>
      <c r="BF277" s="55">
        <f t="shared" si="52"/>
        <v>44.160000000000025</v>
      </c>
      <c r="BG277" s="55">
        <f t="shared" si="52"/>
        <v>46.00000000000003</v>
      </c>
      <c r="BH277" s="55">
        <f t="shared" si="52"/>
        <v>47.84000000000003</v>
      </c>
      <c r="BI277" s="55">
        <f t="shared" si="52"/>
        <v>49.680000000000035</v>
      </c>
      <c r="BJ277" s="55">
        <f t="shared" si="52"/>
        <v>51.52000000000004</v>
      </c>
      <c r="BK277" s="55">
        <f t="shared" si="52"/>
        <v>53.36000000000004</v>
      </c>
      <c r="BL277" s="55">
        <f t="shared" si="52"/>
        <v>55.200000000000045</v>
      </c>
      <c r="BM277" s="55">
        <f>(BL277+1.84)</f>
        <v>57.04000000000005</v>
      </c>
      <c r="BN277" s="55">
        <f>(BM277+1.84)</f>
        <v>58.88000000000005</v>
      </c>
      <c r="BO277" s="55">
        <f>(BN277+1.84)</f>
        <v>60.720000000000056</v>
      </c>
      <c r="BP277" s="55">
        <f>(BO277+1.84)</f>
        <v>62.56000000000006</v>
      </c>
      <c r="BQ277" s="55">
        <f aca="true" t="shared" si="53" ref="BQ277:CR277">(BP277+1.84)</f>
        <v>64.40000000000006</v>
      </c>
      <c r="BR277" s="55">
        <f t="shared" si="53"/>
        <v>66.24000000000007</v>
      </c>
      <c r="BS277" s="55">
        <f t="shared" si="53"/>
        <v>68.08000000000007</v>
      </c>
      <c r="BT277" s="55">
        <f t="shared" si="53"/>
        <v>69.92000000000007</v>
      </c>
      <c r="BU277" s="55">
        <f t="shared" si="53"/>
        <v>71.76000000000008</v>
      </c>
      <c r="BV277" s="55">
        <f t="shared" si="53"/>
        <v>73.60000000000008</v>
      </c>
      <c r="BW277" s="55">
        <f t="shared" si="53"/>
        <v>75.44000000000008</v>
      </c>
      <c r="BX277" s="55">
        <f t="shared" si="53"/>
        <v>77.28000000000009</v>
      </c>
      <c r="BY277" s="55">
        <f t="shared" si="53"/>
        <v>79.12000000000009</v>
      </c>
      <c r="BZ277" s="55">
        <f t="shared" si="53"/>
        <v>80.9600000000001</v>
      </c>
      <c r="CA277" s="55">
        <f t="shared" si="53"/>
        <v>82.8000000000001</v>
      </c>
      <c r="CB277" s="55">
        <f t="shared" si="53"/>
        <v>84.6400000000001</v>
      </c>
      <c r="CC277" s="55">
        <f t="shared" si="53"/>
        <v>86.4800000000001</v>
      </c>
      <c r="CD277" s="55">
        <f t="shared" si="53"/>
        <v>88.3200000000001</v>
      </c>
      <c r="CE277" s="55">
        <f t="shared" si="53"/>
        <v>90.16000000000011</v>
      </c>
      <c r="CF277" s="55">
        <f t="shared" si="53"/>
        <v>92.00000000000011</v>
      </c>
      <c r="CG277" s="55">
        <f t="shared" si="53"/>
        <v>93.84000000000012</v>
      </c>
      <c r="CH277" s="55">
        <f t="shared" si="53"/>
        <v>95.68000000000012</v>
      </c>
      <c r="CI277" s="55">
        <f t="shared" si="53"/>
        <v>97.52000000000012</v>
      </c>
      <c r="CJ277" s="55">
        <f t="shared" si="53"/>
        <v>99.36000000000013</v>
      </c>
      <c r="CK277" s="55">
        <f t="shared" si="53"/>
        <v>101.20000000000013</v>
      </c>
      <c r="CL277" s="55">
        <f t="shared" si="53"/>
        <v>103.04000000000013</v>
      </c>
      <c r="CM277" s="55">
        <f t="shared" si="53"/>
        <v>104.88000000000014</v>
      </c>
      <c r="CN277" s="55">
        <f t="shared" si="53"/>
        <v>106.72000000000014</v>
      </c>
      <c r="CO277" s="55">
        <f t="shared" si="53"/>
        <v>108.56000000000014</v>
      </c>
      <c r="CP277" s="55">
        <f t="shared" si="53"/>
        <v>110.40000000000015</v>
      </c>
      <c r="CQ277" s="55">
        <f t="shared" si="53"/>
        <v>112.24000000000015</v>
      </c>
      <c r="CR277" s="55">
        <f t="shared" si="53"/>
        <v>114.08000000000015</v>
      </c>
    </row>
    <row r="278" spans="1:95" s="12" customFormat="1" ht="15.75" customHeight="1" outlineLevel="2">
      <c r="A278" s="139">
        <v>5</v>
      </c>
      <c r="B278" s="141" t="s">
        <v>371</v>
      </c>
      <c r="C278" s="69" t="s">
        <v>391</v>
      </c>
      <c r="D278" s="27" t="s">
        <v>385</v>
      </c>
      <c r="E278" s="37" t="s">
        <v>21</v>
      </c>
      <c r="F278" s="49" t="s">
        <v>21</v>
      </c>
      <c r="G278" s="38" t="s">
        <v>28</v>
      </c>
      <c r="H278" s="39">
        <v>2.198</v>
      </c>
      <c r="I278" s="132">
        <v>0.7</v>
      </c>
      <c r="J278" s="55">
        <v>15</v>
      </c>
      <c r="K278" s="55">
        <f t="shared" si="46"/>
        <v>23.079</v>
      </c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174">
        <f aca="true" t="shared" si="54" ref="AI278:BX278">(AH278+2.31)</f>
        <v>2.31</v>
      </c>
      <c r="AJ278" s="55">
        <f t="shared" si="54"/>
        <v>4.62</v>
      </c>
      <c r="AK278" s="55">
        <f t="shared" si="54"/>
        <v>6.93</v>
      </c>
      <c r="AL278" s="55">
        <f t="shared" si="54"/>
        <v>9.24</v>
      </c>
      <c r="AM278" s="55">
        <f t="shared" si="54"/>
        <v>11.55</v>
      </c>
      <c r="AN278" s="55">
        <f t="shared" si="54"/>
        <v>13.860000000000001</v>
      </c>
      <c r="AO278" s="55">
        <f t="shared" si="54"/>
        <v>16.17</v>
      </c>
      <c r="AP278" s="55">
        <f t="shared" si="54"/>
        <v>18.48</v>
      </c>
      <c r="AQ278" s="55">
        <f t="shared" si="54"/>
        <v>20.79</v>
      </c>
      <c r="AR278" s="55">
        <f t="shared" si="54"/>
        <v>23.099999999999998</v>
      </c>
      <c r="AS278" s="55">
        <f t="shared" si="54"/>
        <v>25.409999999999997</v>
      </c>
      <c r="AT278" s="55">
        <f t="shared" si="54"/>
        <v>27.719999999999995</v>
      </c>
      <c r="AU278" s="55">
        <f t="shared" si="54"/>
        <v>30.029999999999994</v>
      </c>
      <c r="AV278" s="55">
        <f t="shared" si="54"/>
        <v>32.339999999999996</v>
      </c>
      <c r="AW278" s="55">
        <f t="shared" si="54"/>
        <v>34.65</v>
      </c>
      <c r="AX278" s="55">
        <f t="shared" si="54"/>
        <v>36.96</v>
      </c>
      <c r="AY278" s="55">
        <f t="shared" si="54"/>
        <v>39.27</v>
      </c>
      <c r="AZ278" s="55">
        <f t="shared" si="54"/>
        <v>41.580000000000005</v>
      </c>
      <c r="BA278" s="55">
        <f t="shared" si="54"/>
        <v>43.89000000000001</v>
      </c>
      <c r="BB278" s="55">
        <f t="shared" si="54"/>
        <v>46.20000000000001</v>
      </c>
      <c r="BC278" s="55">
        <f t="shared" si="54"/>
        <v>48.51000000000001</v>
      </c>
      <c r="BD278" s="55">
        <f t="shared" si="54"/>
        <v>50.820000000000014</v>
      </c>
      <c r="BE278" s="55">
        <f t="shared" si="54"/>
        <v>53.13000000000002</v>
      </c>
      <c r="BF278" s="55">
        <f t="shared" si="54"/>
        <v>55.44000000000002</v>
      </c>
      <c r="BG278" s="55">
        <f t="shared" si="54"/>
        <v>57.75000000000002</v>
      </c>
      <c r="BH278" s="55">
        <f t="shared" si="54"/>
        <v>60.060000000000024</v>
      </c>
      <c r="BI278" s="55">
        <f t="shared" si="54"/>
        <v>62.370000000000026</v>
      </c>
      <c r="BJ278" s="55">
        <f t="shared" si="54"/>
        <v>64.68000000000002</v>
      </c>
      <c r="BK278" s="55">
        <f t="shared" si="54"/>
        <v>66.99000000000002</v>
      </c>
      <c r="BL278" s="55">
        <f t="shared" si="54"/>
        <v>69.30000000000003</v>
      </c>
      <c r="BM278" s="55">
        <f t="shared" si="54"/>
        <v>71.61000000000003</v>
      </c>
      <c r="BN278" s="55">
        <f t="shared" si="54"/>
        <v>73.92000000000003</v>
      </c>
      <c r="BO278" s="55">
        <f t="shared" si="54"/>
        <v>76.23000000000003</v>
      </c>
      <c r="BP278" s="55">
        <f t="shared" si="54"/>
        <v>78.54000000000003</v>
      </c>
      <c r="BQ278" s="55">
        <f t="shared" si="54"/>
        <v>80.85000000000004</v>
      </c>
      <c r="BR278" s="55">
        <f t="shared" si="54"/>
        <v>83.16000000000004</v>
      </c>
      <c r="BS278" s="55">
        <f t="shared" si="54"/>
        <v>85.47000000000004</v>
      </c>
      <c r="BT278" s="55">
        <f t="shared" si="54"/>
        <v>87.78000000000004</v>
      </c>
      <c r="BU278" s="55">
        <f t="shared" si="54"/>
        <v>90.09000000000005</v>
      </c>
      <c r="BV278" s="55">
        <f t="shared" si="54"/>
        <v>92.40000000000005</v>
      </c>
      <c r="BW278" s="55">
        <f t="shared" si="54"/>
        <v>94.71000000000005</v>
      </c>
      <c r="BX278" s="55">
        <f t="shared" si="54"/>
        <v>97.02000000000005</v>
      </c>
      <c r="BY278" s="55">
        <f aca="true" t="shared" si="55" ref="BY278:CL278">(BX278+2.31)</f>
        <v>99.33000000000006</v>
      </c>
      <c r="BZ278" s="55">
        <f t="shared" si="55"/>
        <v>101.64000000000006</v>
      </c>
      <c r="CA278" s="55">
        <f t="shared" si="55"/>
        <v>103.95000000000006</v>
      </c>
      <c r="CB278" s="55">
        <f t="shared" si="55"/>
        <v>106.26000000000006</v>
      </c>
      <c r="CC278" s="55">
        <f t="shared" si="55"/>
        <v>108.57000000000006</v>
      </c>
      <c r="CD278" s="55">
        <f t="shared" si="55"/>
        <v>110.88000000000007</v>
      </c>
      <c r="CE278" s="55">
        <f t="shared" si="55"/>
        <v>113.19000000000007</v>
      </c>
      <c r="CF278" s="55">
        <f t="shared" si="55"/>
        <v>115.50000000000007</v>
      </c>
      <c r="CG278" s="55">
        <f t="shared" si="55"/>
        <v>117.81000000000007</v>
      </c>
      <c r="CH278" s="55">
        <f t="shared" si="55"/>
        <v>120.12000000000008</v>
      </c>
      <c r="CI278" s="55">
        <f t="shared" si="55"/>
        <v>122.43000000000008</v>
      </c>
      <c r="CJ278" s="55">
        <f t="shared" si="55"/>
        <v>124.74000000000008</v>
      </c>
      <c r="CK278" s="55">
        <f t="shared" si="55"/>
        <v>127.05000000000008</v>
      </c>
      <c r="CL278" s="55">
        <f t="shared" si="55"/>
        <v>129.36000000000007</v>
      </c>
      <c r="CM278" s="55">
        <f>(CL278+2.31)</f>
        <v>131.67000000000007</v>
      </c>
      <c r="CN278" s="55">
        <f>(CM278+2.31)</f>
        <v>133.98000000000008</v>
      </c>
      <c r="CO278" s="55">
        <f>(CN278+2.31)</f>
        <v>136.29000000000008</v>
      </c>
      <c r="CP278" s="55">
        <f>(CO278+2.31)</f>
        <v>138.60000000000008</v>
      </c>
      <c r="CQ278" s="55">
        <f>(CP278+2.31)</f>
        <v>140.91000000000008</v>
      </c>
    </row>
    <row r="279" spans="1:70" s="12" customFormat="1" ht="15.75" customHeight="1" outlineLevel="2">
      <c r="A279" s="139">
        <v>6</v>
      </c>
      <c r="B279" s="141" t="s">
        <v>371</v>
      </c>
      <c r="C279" s="69" t="s">
        <v>392</v>
      </c>
      <c r="D279" s="27" t="s">
        <v>386</v>
      </c>
      <c r="E279" s="37" t="s">
        <v>16</v>
      </c>
      <c r="F279" s="49" t="s">
        <v>16</v>
      </c>
      <c r="G279" s="38" t="s">
        <v>28</v>
      </c>
      <c r="H279" s="39">
        <v>2.972</v>
      </c>
      <c r="I279" s="49">
        <v>1.2</v>
      </c>
      <c r="J279" s="55">
        <v>15</v>
      </c>
      <c r="K279" s="55">
        <f t="shared" si="46"/>
        <v>53.495999999999995</v>
      </c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174">
        <f aca="true" t="shared" si="56" ref="AI279:BG279">(AH279+5.35)</f>
        <v>5.35</v>
      </c>
      <c r="AJ279" s="55">
        <f t="shared" si="56"/>
        <v>10.7</v>
      </c>
      <c r="AK279" s="55">
        <f t="shared" si="56"/>
        <v>16.049999999999997</v>
      </c>
      <c r="AL279" s="55">
        <f t="shared" si="56"/>
        <v>21.4</v>
      </c>
      <c r="AM279" s="55">
        <f t="shared" si="56"/>
        <v>26.75</v>
      </c>
      <c r="AN279" s="55">
        <f t="shared" si="56"/>
        <v>32.1</v>
      </c>
      <c r="AO279" s="55">
        <f t="shared" si="56"/>
        <v>37.45</v>
      </c>
      <c r="AP279" s="55">
        <f t="shared" si="56"/>
        <v>42.800000000000004</v>
      </c>
      <c r="AQ279" s="55">
        <f t="shared" si="56"/>
        <v>48.150000000000006</v>
      </c>
      <c r="AR279" s="55">
        <f t="shared" si="56"/>
        <v>53.50000000000001</v>
      </c>
      <c r="AS279" s="55">
        <f t="shared" si="56"/>
        <v>58.85000000000001</v>
      </c>
      <c r="AT279" s="55">
        <f t="shared" si="56"/>
        <v>64.2</v>
      </c>
      <c r="AU279" s="55">
        <f t="shared" si="56"/>
        <v>69.55</v>
      </c>
      <c r="AV279" s="55">
        <f t="shared" si="56"/>
        <v>74.89999999999999</v>
      </c>
      <c r="AW279" s="55">
        <f t="shared" si="56"/>
        <v>80.24999999999999</v>
      </c>
      <c r="AX279" s="55">
        <f t="shared" si="56"/>
        <v>85.59999999999998</v>
      </c>
      <c r="AY279" s="55">
        <f t="shared" si="56"/>
        <v>90.94999999999997</v>
      </c>
      <c r="AZ279" s="55">
        <f t="shared" si="56"/>
        <v>96.29999999999997</v>
      </c>
      <c r="BA279" s="55">
        <f t="shared" si="56"/>
        <v>101.64999999999996</v>
      </c>
      <c r="BB279" s="55">
        <f t="shared" si="56"/>
        <v>106.99999999999996</v>
      </c>
      <c r="BC279" s="55">
        <f t="shared" si="56"/>
        <v>112.34999999999995</v>
      </c>
      <c r="BD279" s="55">
        <f t="shared" si="56"/>
        <v>117.69999999999995</v>
      </c>
      <c r="BE279" s="55">
        <f t="shared" si="56"/>
        <v>123.04999999999994</v>
      </c>
      <c r="BF279" s="55">
        <f t="shared" si="56"/>
        <v>128.39999999999995</v>
      </c>
      <c r="BG279" s="55">
        <f t="shared" si="56"/>
        <v>133.74999999999994</v>
      </c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1:96" s="12" customFormat="1" ht="15.75" customHeight="1" outlineLevel="2">
      <c r="A280" s="139">
        <v>7</v>
      </c>
      <c r="B280" s="141" t="s">
        <v>371</v>
      </c>
      <c r="C280" s="69" t="s">
        <v>393</v>
      </c>
      <c r="D280" s="27" t="s">
        <v>48</v>
      </c>
      <c r="E280" s="28" t="s">
        <v>27</v>
      </c>
      <c r="F280" s="45" t="s">
        <v>40</v>
      </c>
      <c r="G280" s="45" t="s">
        <v>47</v>
      </c>
      <c r="H280" s="27">
        <v>4.701</v>
      </c>
      <c r="I280" s="132">
        <v>0.7</v>
      </c>
      <c r="J280" s="55">
        <v>15</v>
      </c>
      <c r="K280" s="55">
        <f t="shared" si="46"/>
        <v>49.360499999999995</v>
      </c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174">
        <f aca="true" t="shared" si="57" ref="AI280:BX280">(AH280+4.94)</f>
        <v>4.94</v>
      </c>
      <c r="AJ280" s="55">
        <f t="shared" si="57"/>
        <v>9.88</v>
      </c>
      <c r="AK280" s="55">
        <f t="shared" si="57"/>
        <v>14.82</v>
      </c>
      <c r="AL280" s="55">
        <f t="shared" si="57"/>
        <v>19.76</v>
      </c>
      <c r="AM280" s="55">
        <f t="shared" si="57"/>
        <v>24.700000000000003</v>
      </c>
      <c r="AN280" s="55">
        <f t="shared" si="57"/>
        <v>29.640000000000004</v>
      </c>
      <c r="AO280" s="55">
        <f t="shared" si="57"/>
        <v>34.580000000000005</v>
      </c>
      <c r="AP280" s="55">
        <f t="shared" si="57"/>
        <v>39.52</v>
      </c>
      <c r="AQ280" s="55">
        <f t="shared" si="57"/>
        <v>44.46</v>
      </c>
      <c r="AR280" s="55">
        <f t="shared" si="57"/>
        <v>49.4</v>
      </c>
      <c r="AS280" s="55">
        <f t="shared" si="57"/>
        <v>54.339999999999996</v>
      </c>
      <c r="AT280" s="55">
        <f t="shared" si="57"/>
        <v>59.279999999999994</v>
      </c>
      <c r="AU280" s="55">
        <f t="shared" si="57"/>
        <v>64.22</v>
      </c>
      <c r="AV280" s="55">
        <f t="shared" si="57"/>
        <v>69.16</v>
      </c>
      <c r="AW280" s="55">
        <f t="shared" si="57"/>
        <v>74.1</v>
      </c>
      <c r="AX280" s="55">
        <f t="shared" si="57"/>
        <v>79.03999999999999</v>
      </c>
      <c r="AY280" s="55">
        <f t="shared" si="57"/>
        <v>83.97999999999999</v>
      </c>
      <c r="AZ280" s="55">
        <f t="shared" si="57"/>
        <v>88.91999999999999</v>
      </c>
      <c r="BA280" s="55">
        <f t="shared" si="57"/>
        <v>93.85999999999999</v>
      </c>
      <c r="BB280" s="55">
        <f t="shared" si="57"/>
        <v>98.79999999999998</v>
      </c>
      <c r="BC280" s="55">
        <f t="shared" si="57"/>
        <v>103.73999999999998</v>
      </c>
      <c r="BD280" s="55">
        <f t="shared" si="57"/>
        <v>108.67999999999998</v>
      </c>
      <c r="BE280" s="55">
        <f t="shared" si="57"/>
        <v>113.61999999999998</v>
      </c>
      <c r="BF280" s="55">
        <f t="shared" si="57"/>
        <v>118.55999999999997</v>
      </c>
      <c r="BG280" s="55">
        <f t="shared" si="57"/>
        <v>123.49999999999997</v>
      </c>
      <c r="BH280" s="55">
        <f t="shared" si="57"/>
        <v>128.43999999999997</v>
      </c>
      <c r="BI280" s="55">
        <f t="shared" si="57"/>
        <v>133.37999999999997</v>
      </c>
      <c r="BJ280" s="55">
        <f t="shared" si="57"/>
        <v>138.31999999999996</v>
      </c>
      <c r="BK280" s="55">
        <f t="shared" si="57"/>
        <v>143.25999999999996</v>
      </c>
      <c r="BL280" s="55">
        <f t="shared" si="57"/>
        <v>148.19999999999996</v>
      </c>
      <c r="BM280" s="55">
        <f t="shared" si="57"/>
        <v>153.13999999999996</v>
      </c>
      <c r="BN280" s="55">
        <f t="shared" si="57"/>
        <v>158.07999999999996</v>
      </c>
      <c r="BO280" s="55">
        <f t="shared" si="57"/>
        <v>163.01999999999995</v>
      </c>
      <c r="BP280" s="55">
        <f t="shared" si="57"/>
        <v>167.95999999999995</v>
      </c>
      <c r="BQ280" s="55">
        <f t="shared" si="57"/>
        <v>172.89999999999995</v>
      </c>
      <c r="BR280" s="55">
        <f t="shared" si="57"/>
        <v>177.83999999999995</v>
      </c>
      <c r="BS280" s="55">
        <f t="shared" si="57"/>
        <v>182.77999999999994</v>
      </c>
      <c r="BT280" s="55">
        <f t="shared" si="57"/>
        <v>187.71999999999994</v>
      </c>
      <c r="BU280" s="55">
        <f t="shared" si="57"/>
        <v>192.65999999999994</v>
      </c>
      <c r="BV280" s="55">
        <f t="shared" si="57"/>
        <v>197.59999999999994</v>
      </c>
      <c r="BW280" s="55">
        <f t="shared" si="57"/>
        <v>202.53999999999994</v>
      </c>
      <c r="BX280" s="55">
        <f t="shared" si="57"/>
        <v>207.47999999999993</v>
      </c>
      <c r="BY280" s="55">
        <f aca="true" t="shared" si="58" ref="BY280:CR280">(BX280+4.94)</f>
        <v>212.41999999999993</v>
      </c>
      <c r="BZ280" s="55">
        <f t="shared" si="58"/>
        <v>217.35999999999993</v>
      </c>
      <c r="CA280" s="55">
        <f t="shared" si="58"/>
        <v>222.29999999999993</v>
      </c>
      <c r="CB280" s="55">
        <f t="shared" si="58"/>
        <v>227.23999999999992</v>
      </c>
      <c r="CC280" s="55">
        <f t="shared" si="58"/>
        <v>232.17999999999992</v>
      </c>
      <c r="CD280" s="55">
        <f t="shared" si="58"/>
        <v>237.11999999999992</v>
      </c>
      <c r="CE280" s="55">
        <f t="shared" si="58"/>
        <v>242.05999999999992</v>
      </c>
      <c r="CF280" s="55">
        <f t="shared" si="58"/>
        <v>246.99999999999991</v>
      </c>
      <c r="CG280" s="55">
        <f t="shared" si="58"/>
        <v>251.9399999999999</v>
      </c>
      <c r="CH280" s="55">
        <f t="shared" si="58"/>
        <v>256.87999999999994</v>
      </c>
      <c r="CI280" s="55">
        <f t="shared" si="58"/>
        <v>261.81999999999994</v>
      </c>
      <c r="CJ280" s="55">
        <f t="shared" si="58"/>
        <v>266.75999999999993</v>
      </c>
      <c r="CK280" s="55">
        <f t="shared" si="58"/>
        <v>271.69999999999993</v>
      </c>
      <c r="CL280" s="55">
        <f t="shared" si="58"/>
        <v>276.63999999999993</v>
      </c>
      <c r="CM280" s="55">
        <f t="shared" si="58"/>
        <v>281.5799999999999</v>
      </c>
      <c r="CN280" s="55">
        <f t="shared" si="58"/>
        <v>286.5199999999999</v>
      </c>
      <c r="CO280" s="55">
        <f t="shared" si="58"/>
        <v>291.4599999999999</v>
      </c>
      <c r="CP280" s="55">
        <f t="shared" si="58"/>
        <v>296.3999999999999</v>
      </c>
      <c r="CQ280" s="55">
        <f t="shared" si="58"/>
        <v>301.3399999999999</v>
      </c>
      <c r="CR280" s="55">
        <f t="shared" si="58"/>
        <v>306.2799999999999</v>
      </c>
    </row>
    <row r="281" spans="1:91" s="12" customFormat="1" ht="15.75" customHeight="1" outlineLevel="2">
      <c r="A281" s="139">
        <v>8</v>
      </c>
      <c r="B281" s="141" t="s">
        <v>371</v>
      </c>
      <c r="C281" s="69" t="s">
        <v>394</v>
      </c>
      <c r="D281" s="27" t="s">
        <v>49</v>
      </c>
      <c r="E281" s="37" t="s">
        <v>40</v>
      </c>
      <c r="F281" s="45" t="s">
        <v>40</v>
      </c>
      <c r="G281" s="36" t="s">
        <v>47</v>
      </c>
      <c r="H281" s="39">
        <v>1.064</v>
      </c>
      <c r="I281" s="132">
        <v>0.7</v>
      </c>
      <c r="J281" s="55">
        <v>15</v>
      </c>
      <c r="K281" s="55">
        <f t="shared" si="46"/>
        <v>11.172</v>
      </c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174">
        <f aca="true" t="shared" si="59" ref="AI281:AR282">(AH281+1.12)</f>
        <v>1.12</v>
      </c>
      <c r="AJ281" s="55">
        <f t="shared" si="59"/>
        <v>2.24</v>
      </c>
      <c r="AK281" s="55">
        <f t="shared" si="59"/>
        <v>3.3600000000000003</v>
      </c>
      <c r="AL281" s="55">
        <f t="shared" si="59"/>
        <v>4.48</v>
      </c>
      <c r="AM281" s="55">
        <f t="shared" si="59"/>
        <v>5.6000000000000005</v>
      </c>
      <c r="AN281" s="55">
        <f t="shared" si="59"/>
        <v>6.720000000000001</v>
      </c>
      <c r="AO281" s="55">
        <f t="shared" si="59"/>
        <v>7.840000000000001</v>
      </c>
      <c r="AP281" s="55">
        <f t="shared" si="59"/>
        <v>8.96</v>
      </c>
      <c r="AQ281" s="55">
        <f t="shared" si="59"/>
        <v>10.080000000000002</v>
      </c>
      <c r="AR281" s="55">
        <f t="shared" si="59"/>
        <v>11.200000000000003</v>
      </c>
      <c r="AS281" s="55">
        <f aca="true" t="shared" si="60" ref="AS281:BH282">(AR281+1.12)</f>
        <v>12.320000000000004</v>
      </c>
      <c r="AT281" s="55">
        <f t="shared" si="60"/>
        <v>13.440000000000005</v>
      </c>
      <c r="AU281" s="55">
        <f t="shared" si="60"/>
        <v>14.560000000000006</v>
      </c>
      <c r="AV281" s="55">
        <f t="shared" si="60"/>
        <v>15.680000000000007</v>
      </c>
      <c r="AW281" s="55">
        <f t="shared" si="60"/>
        <v>16.800000000000008</v>
      </c>
      <c r="AX281" s="55">
        <f t="shared" si="60"/>
        <v>17.92000000000001</v>
      </c>
      <c r="AY281" s="55">
        <f t="shared" si="60"/>
        <v>19.04000000000001</v>
      </c>
      <c r="AZ281" s="55">
        <f t="shared" si="60"/>
        <v>20.16000000000001</v>
      </c>
      <c r="BA281" s="55">
        <f t="shared" si="60"/>
        <v>21.280000000000012</v>
      </c>
      <c r="BB281" s="55">
        <f t="shared" si="60"/>
        <v>22.400000000000013</v>
      </c>
      <c r="BC281" s="55">
        <f t="shared" si="60"/>
        <v>23.520000000000014</v>
      </c>
      <c r="BD281" s="55">
        <f t="shared" si="60"/>
        <v>24.640000000000015</v>
      </c>
      <c r="BE281" s="55">
        <f t="shared" si="60"/>
        <v>25.760000000000016</v>
      </c>
      <c r="BF281" s="55">
        <f t="shared" si="60"/>
        <v>26.880000000000017</v>
      </c>
      <c r="BG281" s="55">
        <f t="shared" si="60"/>
        <v>28.000000000000018</v>
      </c>
      <c r="BH281" s="55">
        <f t="shared" si="60"/>
        <v>29.12000000000002</v>
      </c>
      <c r="BI281" s="55">
        <f aca="true" t="shared" si="61" ref="BI281:BX282">(BH281+1.12)</f>
        <v>30.24000000000002</v>
      </c>
      <c r="BJ281" s="55">
        <f t="shared" si="61"/>
        <v>31.36000000000002</v>
      </c>
      <c r="BK281" s="55">
        <f t="shared" si="61"/>
        <v>32.48000000000002</v>
      </c>
      <c r="BL281" s="55">
        <f t="shared" si="61"/>
        <v>33.600000000000016</v>
      </c>
      <c r="BM281" s="55">
        <f t="shared" si="61"/>
        <v>34.72000000000001</v>
      </c>
      <c r="BN281" s="55">
        <f t="shared" si="61"/>
        <v>35.84000000000001</v>
      </c>
      <c r="BO281" s="55">
        <f t="shared" si="61"/>
        <v>36.96000000000001</v>
      </c>
      <c r="BP281" s="55">
        <f t="shared" si="61"/>
        <v>38.080000000000005</v>
      </c>
      <c r="BQ281" s="55">
        <f t="shared" si="61"/>
        <v>39.2</v>
      </c>
      <c r="BR281" s="55">
        <f t="shared" si="61"/>
        <v>40.32</v>
      </c>
      <c r="BS281" s="55">
        <f t="shared" si="61"/>
        <v>41.44</v>
      </c>
      <c r="BT281" s="55">
        <f t="shared" si="61"/>
        <v>42.559999999999995</v>
      </c>
      <c r="BU281" s="55">
        <f t="shared" si="61"/>
        <v>43.67999999999999</v>
      </c>
      <c r="BV281" s="55">
        <f t="shared" si="61"/>
        <v>44.79999999999999</v>
      </c>
      <c r="BW281" s="55">
        <f t="shared" si="61"/>
        <v>45.91999999999999</v>
      </c>
      <c r="BX281" s="55">
        <f t="shared" si="61"/>
        <v>47.039999999999985</v>
      </c>
      <c r="BY281" s="55">
        <f aca="true" t="shared" si="62" ref="BY281:CM282">(BX281+1.12)</f>
        <v>48.15999999999998</v>
      </c>
      <c r="BZ281" s="55">
        <f t="shared" si="62"/>
        <v>49.27999999999998</v>
      </c>
      <c r="CA281" s="55">
        <f t="shared" si="62"/>
        <v>50.39999999999998</v>
      </c>
      <c r="CB281" s="55">
        <f t="shared" si="62"/>
        <v>51.519999999999975</v>
      </c>
      <c r="CC281" s="55">
        <f t="shared" si="62"/>
        <v>52.63999999999997</v>
      </c>
      <c r="CD281" s="55">
        <f t="shared" si="62"/>
        <v>53.75999999999997</v>
      </c>
      <c r="CE281" s="55">
        <f t="shared" si="62"/>
        <v>54.87999999999997</v>
      </c>
      <c r="CF281" s="55">
        <f t="shared" si="62"/>
        <v>55.999999999999964</v>
      </c>
      <c r="CG281" s="55">
        <f t="shared" si="62"/>
        <v>57.11999999999996</v>
      </c>
      <c r="CH281" s="55">
        <f t="shared" si="62"/>
        <v>58.23999999999996</v>
      </c>
      <c r="CI281" s="55">
        <f t="shared" si="62"/>
        <v>59.35999999999996</v>
      </c>
      <c r="CJ281" s="55">
        <f t="shared" si="62"/>
        <v>60.479999999999954</v>
      </c>
      <c r="CK281" s="55">
        <f t="shared" si="62"/>
        <v>61.59999999999995</v>
      </c>
      <c r="CL281" s="55">
        <f t="shared" si="62"/>
        <v>62.71999999999995</v>
      </c>
      <c r="CM281" s="55">
        <f t="shared" si="62"/>
        <v>63.83999999999995</v>
      </c>
    </row>
    <row r="282" spans="1:91" s="12" customFormat="1" ht="15.75" customHeight="1" outlineLevel="2">
      <c r="A282" s="139">
        <v>9</v>
      </c>
      <c r="B282" s="117" t="s">
        <v>371</v>
      </c>
      <c r="C282" s="69" t="s">
        <v>395</v>
      </c>
      <c r="D282" s="104" t="s">
        <v>49</v>
      </c>
      <c r="E282" s="37" t="s">
        <v>40</v>
      </c>
      <c r="F282" s="142" t="s">
        <v>40</v>
      </c>
      <c r="G282" s="103" t="s">
        <v>47</v>
      </c>
      <c r="H282" s="39">
        <v>1.066</v>
      </c>
      <c r="I282" s="132">
        <v>0.7</v>
      </c>
      <c r="J282" s="55">
        <v>15</v>
      </c>
      <c r="K282" s="55">
        <f t="shared" si="46"/>
        <v>11.193</v>
      </c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174">
        <f t="shared" si="59"/>
        <v>1.12</v>
      </c>
      <c r="AJ282" s="55">
        <f t="shared" si="59"/>
        <v>2.24</v>
      </c>
      <c r="AK282" s="55">
        <f t="shared" si="59"/>
        <v>3.3600000000000003</v>
      </c>
      <c r="AL282" s="55">
        <f t="shared" si="59"/>
        <v>4.48</v>
      </c>
      <c r="AM282" s="55">
        <f t="shared" si="59"/>
        <v>5.6000000000000005</v>
      </c>
      <c r="AN282" s="55">
        <f t="shared" si="59"/>
        <v>6.720000000000001</v>
      </c>
      <c r="AO282" s="55">
        <f t="shared" si="59"/>
        <v>7.840000000000001</v>
      </c>
      <c r="AP282" s="55">
        <f t="shared" si="59"/>
        <v>8.96</v>
      </c>
      <c r="AQ282" s="55">
        <f t="shared" si="59"/>
        <v>10.080000000000002</v>
      </c>
      <c r="AR282" s="55">
        <f t="shared" si="59"/>
        <v>11.200000000000003</v>
      </c>
      <c r="AS282" s="55">
        <f t="shared" si="60"/>
        <v>12.320000000000004</v>
      </c>
      <c r="AT282" s="55">
        <f t="shared" si="60"/>
        <v>13.440000000000005</v>
      </c>
      <c r="AU282" s="55">
        <f t="shared" si="60"/>
        <v>14.560000000000006</v>
      </c>
      <c r="AV282" s="55">
        <f t="shared" si="60"/>
        <v>15.680000000000007</v>
      </c>
      <c r="AW282" s="55">
        <f t="shared" si="60"/>
        <v>16.800000000000008</v>
      </c>
      <c r="AX282" s="55">
        <f t="shared" si="60"/>
        <v>17.92000000000001</v>
      </c>
      <c r="AY282" s="55">
        <f t="shared" si="60"/>
        <v>19.04000000000001</v>
      </c>
      <c r="AZ282" s="55">
        <f t="shared" si="60"/>
        <v>20.16000000000001</v>
      </c>
      <c r="BA282" s="55">
        <f t="shared" si="60"/>
        <v>21.280000000000012</v>
      </c>
      <c r="BB282" s="55">
        <f t="shared" si="60"/>
        <v>22.400000000000013</v>
      </c>
      <c r="BC282" s="55">
        <f t="shared" si="60"/>
        <v>23.520000000000014</v>
      </c>
      <c r="BD282" s="55">
        <f t="shared" si="60"/>
        <v>24.640000000000015</v>
      </c>
      <c r="BE282" s="55">
        <f t="shared" si="60"/>
        <v>25.760000000000016</v>
      </c>
      <c r="BF282" s="55">
        <f t="shared" si="60"/>
        <v>26.880000000000017</v>
      </c>
      <c r="BG282" s="55">
        <f t="shared" si="60"/>
        <v>28.000000000000018</v>
      </c>
      <c r="BH282" s="55">
        <f t="shared" si="60"/>
        <v>29.12000000000002</v>
      </c>
      <c r="BI282" s="55">
        <f t="shared" si="61"/>
        <v>30.24000000000002</v>
      </c>
      <c r="BJ282" s="55">
        <f t="shared" si="61"/>
        <v>31.36000000000002</v>
      </c>
      <c r="BK282" s="55">
        <f t="shared" si="61"/>
        <v>32.48000000000002</v>
      </c>
      <c r="BL282" s="55">
        <f t="shared" si="61"/>
        <v>33.600000000000016</v>
      </c>
      <c r="BM282" s="55">
        <f t="shared" si="61"/>
        <v>34.72000000000001</v>
      </c>
      <c r="BN282" s="55">
        <f t="shared" si="61"/>
        <v>35.84000000000001</v>
      </c>
      <c r="BO282" s="55">
        <f t="shared" si="61"/>
        <v>36.96000000000001</v>
      </c>
      <c r="BP282" s="55">
        <f t="shared" si="61"/>
        <v>38.080000000000005</v>
      </c>
      <c r="BQ282" s="55">
        <f t="shared" si="61"/>
        <v>39.2</v>
      </c>
      <c r="BR282" s="55">
        <f t="shared" si="61"/>
        <v>40.32</v>
      </c>
      <c r="BS282" s="55">
        <f t="shared" si="61"/>
        <v>41.44</v>
      </c>
      <c r="BT282" s="55">
        <f t="shared" si="61"/>
        <v>42.559999999999995</v>
      </c>
      <c r="BU282" s="55">
        <f t="shared" si="61"/>
        <v>43.67999999999999</v>
      </c>
      <c r="BV282" s="55">
        <f t="shared" si="61"/>
        <v>44.79999999999999</v>
      </c>
      <c r="BW282" s="55">
        <f t="shared" si="61"/>
        <v>45.91999999999999</v>
      </c>
      <c r="BX282" s="55">
        <f t="shared" si="61"/>
        <v>47.039999999999985</v>
      </c>
      <c r="BY282" s="55">
        <f t="shared" si="62"/>
        <v>48.15999999999998</v>
      </c>
      <c r="BZ282" s="55">
        <f t="shared" si="62"/>
        <v>49.27999999999998</v>
      </c>
      <c r="CA282" s="55">
        <f t="shared" si="62"/>
        <v>50.39999999999998</v>
      </c>
      <c r="CB282" s="55">
        <f t="shared" si="62"/>
        <v>51.519999999999975</v>
      </c>
      <c r="CC282" s="55">
        <f t="shared" si="62"/>
        <v>52.63999999999997</v>
      </c>
      <c r="CD282" s="55">
        <f t="shared" si="62"/>
        <v>53.75999999999997</v>
      </c>
      <c r="CE282" s="55">
        <f t="shared" si="62"/>
        <v>54.87999999999997</v>
      </c>
      <c r="CF282" s="55">
        <f t="shared" si="62"/>
        <v>55.999999999999964</v>
      </c>
      <c r="CG282" s="55">
        <f t="shared" si="62"/>
        <v>57.11999999999996</v>
      </c>
      <c r="CH282" s="55">
        <f t="shared" si="62"/>
        <v>58.23999999999996</v>
      </c>
      <c r="CI282" s="55">
        <f t="shared" si="62"/>
        <v>59.35999999999996</v>
      </c>
      <c r="CJ282" s="55">
        <f t="shared" si="62"/>
        <v>60.479999999999954</v>
      </c>
      <c r="CK282" s="55">
        <f t="shared" si="62"/>
        <v>61.59999999999995</v>
      </c>
      <c r="CL282" s="55">
        <f t="shared" si="62"/>
        <v>62.71999999999995</v>
      </c>
      <c r="CM282" s="55">
        <f t="shared" si="62"/>
        <v>63.83999999999995</v>
      </c>
    </row>
    <row r="283" spans="1:96" s="12" customFormat="1" ht="15.75" customHeight="1" outlineLevel="2">
      <c r="A283" s="139">
        <v>10</v>
      </c>
      <c r="B283" s="117" t="s">
        <v>371</v>
      </c>
      <c r="C283" s="69" t="s">
        <v>396</v>
      </c>
      <c r="D283" s="104" t="s">
        <v>49</v>
      </c>
      <c r="E283" s="37" t="s">
        <v>40</v>
      </c>
      <c r="F283" s="142" t="s">
        <v>40</v>
      </c>
      <c r="G283" s="103" t="s">
        <v>47</v>
      </c>
      <c r="H283" s="39">
        <v>3.412</v>
      </c>
      <c r="I283" s="132">
        <v>0.7</v>
      </c>
      <c r="J283" s="55">
        <v>15</v>
      </c>
      <c r="K283" s="55">
        <f t="shared" si="46"/>
        <v>35.826</v>
      </c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174">
        <f aca="true" t="shared" si="63" ref="AI283:BX283">(AH283+3.58)</f>
        <v>3.58</v>
      </c>
      <c r="AJ283" s="55">
        <f t="shared" si="63"/>
        <v>7.16</v>
      </c>
      <c r="AK283" s="55">
        <f t="shared" si="63"/>
        <v>10.74</v>
      </c>
      <c r="AL283" s="55">
        <f t="shared" si="63"/>
        <v>14.32</v>
      </c>
      <c r="AM283" s="55">
        <f t="shared" si="63"/>
        <v>17.9</v>
      </c>
      <c r="AN283" s="55">
        <f t="shared" si="63"/>
        <v>21.479999999999997</v>
      </c>
      <c r="AO283" s="55">
        <f t="shared" si="63"/>
        <v>25.059999999999995</v>
      </c>
      <c r="AP283" s="55">
        <f t="shared" si="63"/>
        <v>28.639999999999993</v>
      </c>
      <c r="AQ283" s="55">
        <f t="shared" si="63"/>
        <v>32.21999999999999</v>
      </c>
      <c r="AR283" s="55">
        <f t="shared" si="63"/>
        <v>35.79999999999999</v>
      </c>
      <c r="AS283" s="55">
        <f t="shared" si="63"/>
        <v>39.37999999999999</v>
      </c>
      <c r="AT283" s="55">
        <f t="shared" si="63"/>
        <v>42.95999999999999</v>
      </c>
      <c r="AU283" s="55">
        <f t="shared" si="63"/>
        <v>46.539999999999985</v>
      </c>
      <c r="AV283" s="55">
        <f t="shared" si="63"/>
        <v>50.11999999999998</v>
      </c>
      <c r="AW283" s="55">
        <f t="shared" si="63"/>
        <v>53.69999999999998</v>
      </c>
      <c r="AX283" s="55">
        <f t="shared" si="63"/>
        <v>57.27999999999998</v>
      </c>
      <c r="AY283" s="55">
        <f t="shared" si="63"/>
        <v>60.85999999999998</v>
      </c>
      <c r="AZ283" s="55">
        <f t="shared" si="63"/>
        <v>64.43999999999998</v>
      </c>
      <c r="BA283" s="55">
        <f t="shared" si="63"/>
        <v>68.01999999999998</v>
      </c>
      <c r="BB283" s="55">
        <f t="shared" si="63"/>
        <v>71.59999999999998</v>
      </c>
      <c r="BC283" s="55">
        <f t="shared" si="63"/>
        <v>75.17999999999998</v>
      </c>
      <c r="BD283" s="55">
        <f t="shared" si="63"/>
        <v>78.75999999999998</v>
      </c>
      <c r="BE283" s="55">
        <f t="shared" si="63"/>
        <v>82.33999999999997</v>
      </c>
      <c r="BF283" s="55">
        <f t="shared" si="63"/>
        <v>85.91999999999997</v>
      </c>
      <c r="BG283" s="55">
        <f t="shared" si="63"/>
        <v>89.49999999999997</v>
      </c>
      <c r="BH283" s="55">
        <f t="shared" si="63"/>
        <v>93.07999999999997</v>
      </c>
      <c r="BI283" s="55">
        <f t="shared" si="63"/>
        <v>96.65999999999997</v>
      </c>
      <c r="BJ283" s="55">
        <f t="shared" si="63"/>
        <v>100.23999999999997</v>
      </c>
      <c r="BK283" s="55">
        <f t="shared" si="63"/>
        <v>103.81999999999996</v>
      </c>
      <c r="BL283" s="55">
        <f t="shared" si="63"/>
        <v>107.39999999999996</v>
      </c>
      <c r="BM283" s="55">
        <f t="shared" si="63"/>
        <v>110.97999999999996</v>
      </c>
      <c r="BN283" s="55">
        <f t="shared" si="63"/>
        <v>114.55999999999996</v>
      </c>
      <c r="BO283" s="55">
        <f t="shared" si="63"/>
        <v>118.13999999999996</v>
      </c>
      <c r="BP283" s="55">
        <f t="shared" si="63"/>
        <v>121.71999999999996</v>
      </c>
      <c r="BQ283" s="55">
        <f t="shared" si="63"/>
        <v>125.29999999999995</v>
      </c>
      <c r="BR283" s="55">
        <f t="shared" si="63"/>
        <v>128.87999999999997</v>
      </c>
      <c r="BS283" s="55">
        <f t="shared" si="63"/>
        <v>132.45999999999998</v>
      </c>
      <c r="BT283" s="55">
        <f t="shared" si="63"/>
        <v>136.04</v>
      </c>
      <c r="BU283" s="55">
        <f t="shared" si="63"/>
        <v>139.62</v>
      </c>
      <c r="BV283" s="55">
        <f t="shared" si="63"/>
        <v>143.20000000000002</v>
      </c>
      <c r="BW283" s="55">
        <f t="shared" si="63"/>
        <v>146.78000000000003</v>
      </c>
      <c r="BX283" s="55">
        <f t="shared" si="63"/>
        <v>150.36000000000004</v>
      </c>
      <c r="BY283" s="55">
        <f aca="true" t="shared" si="64" ref="BY283:CP283">(BX283+3.58)</f>
        <v>153.94000000000005</v>
      </c>
      <c r="BZ283" s="55">
        <f t="shared" si="64"/>
        <v>157.52000000000007</v>
      </c>
      <c r="CA283" s="55">
        <f t="shared" si="64"/>
        <v>161.10000000000008</v>
      </c>
      <c r="CB283" s="55">
        <f t="shared" si="64"/>
        <v>164.6800000000001</v>
      </c>
      <c r="CC283" s="55">
        <f t="shared" si="64"/>
        <v>168.2600000000001</v>
      </c>
      <c r="CD283" s="55">
        <f t="shared" si="64"/>
        <v>171.84000000000012</v>
      </c>
      <c r="CE283" s="55">
        <f t="shared" si="64"/>
        <v>175.42000000000013</v>
      </c>
      <c r="CF283" s="55">
        <f t="shared" si="64"/>
        <v>179.00000000000014</v>
      </c>
      <c r="CG283" s="55">
        <f t="shared" si="64"/>
        <v>182.58000000000015</v>
      </c>
      <c r="CH283" s="55">
        <f t="shared" si="64"/>
        <v>186.16000000000017</v>
      </c>
      <c r="CI283" s="55">
        <f t="shared" si="64"/>
        <v>189.74000000000018</v>
      </c>
      <c r="CJ283" s="55">
        <f t="shared" si="64"/>
        <v>193.3200000000002</v>
      </c>
      <c r="CK283" s="55">
        <f t="shared" si="64"/>
        <v>196.9000000000002</v>
      </c>
      <c r="CL283" s="55">
        <f t="shared" si="64"/>
        <v>200.48000000000022</v>
      </c>
      <c r="CM283" s="55">
        <f>(CL283+3.58)</f>
        <v>204.06000000000023</v>
      </c>
      <c r="CN283" s="55">
        <f t="shared" si="64"/>
        <v>207.64000000000024</v>
      </c>
      <c r="CO283" s="55">
        <f>(CN283+3.58)</f>
        <v>211.22000000000025</v>
      </c>
      <c r="CP283" s="55">
        <f t="shared" si="64"/>
        <v>214.80000000000027</v>
      </c>
      <c r="CQ283" s="55">
        <f>(CP283+3.58)</f>
        <v>218.38000000000028</v>
      </c>
      <c r="CR283" s="55">
        <f>(CQ283+3.58)</f>
        <v>221.9600000000003</v>
      </c>
    </row>
    <row r="284" spans="1:96" s="59" customFormat="1" ht="15.75" customHeight="1" outlineLevel="2">
      <c r="A284" s="139">
        <v>11</v>
      </c>
      <c r="B284" s="117" t="s">
        <v>371</v>
      </c>
      <c r="C284" s="27" t="s">
        <v>563</v>
      </c>
      <c r="D284" s="104" t="s">
        <v>385</v>
      </c>
      <c r="E284" s="41"/>
      <c r="F284" s="142" t="s">
        <v>40</v>
      </c>
      <c r="G284" s="103" t="s">
        <v>47</v>
      </c>
      <c r="H284" s="76">
        <v>6.756</v>
      </c>
      <c r="I284" s="132">
        <v>0.7</v>
      </c>
      <c r="J284" s="55">
        <v>15</v>
      </c>
      <c r="K284" s="55">
        <f t="shared" si="46"/>
        <v>70.93799999999999</v>
      </c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174">
        <f aca="true" t="shared" si="65" ref="AI284:BX284">(AH284+7.09)</f>
        <v>7.09</v>
      </c>
      <c r="AJ284" s="55">
        <f t="shared" si="65"/>
        <v>14.18</v>
      </c>
      <c r="AK284" s="55">
        <f t="shared" si="65"/>
        <v>21.27</v>
      </c>
      <c r="AL284" s="55">
        <f t="shared" si="65"/>
        <v>28.36</v>
      </c>
      <c r="AM284" s="55">
        <f t="shared" si="65"/>
        <v>35.45</v>
      </c>
      <c r="AN284" s="55">
        <f t="shared" si="65"/>
        <v>42.540000000000006</v>
      </c>
      <c r="AO284" s="55">
        <f t="shared" si="65"/>
        <v>49.63000000000001</v>
      </c>
      <c r="AP284" s="55">
        <f t="shared" si="65"/>
        <v>56.72000000000001</v>
      </c>
      <c r="AQ284" s="55">
        <f t="shared" si="65"/>
        <v>63.81000000000002</v>
      </c>
      <c r="AR284" s="55">
        <f t="shared" si="65"/>
        <v>70.90000000000002</v>
      </c>
      <c r="AS284" s="55">
        <f t="shared" si="65"/>
        <v>77.99000000000002</v>
      </c>
      <c r="AT284" s="55">
        <f t="shared" si="65"/>
        <v>85.08000000000003</v>
      </c>
      <c r="AU284" s="55">
        <f t="shared" si="65"/>
        <v>92.17000000000003</v>
      </c>
      <c r="AV284" s="55">
        <f t="shared" si="65"/>
        <v>99.26000000000003</v>
      </c>
      <c r="AW284" s="55">
        <f t="shared" si="65"/>
        <v>106.35000000000004</v>
      </c>
      <c r="AX284" s="55">
        <f t="shared" si="65"/>
        <v>113.44000000000004</v>
      </c>
      <c r="AY284" s="55">
        <f t="shared" si="65"/>
        <v>120.53000000000004</v>
      </c>
      <c r="AZ284" s="55">
        <f t="shared" si="65"/>
        <v>127.62000000000005</v>
      </c>
      <c r="BA284" s="55">
        <f t="shared" si="65"/>
        <v>134.71000000000004</v>
      </c>
      <c r="BB284" s="55">
        <f t="shared" si="65"/>
        <v>141.80000000000004</v>
      </c>
      <c r="BC284" s="55">
        <f t="shared" si="65"/>
        <v>148.89000000000004</v>
      </c>
      <c r="BD284" s="55">
        <f t="shared" si="65"/>
        <v>155.98000000000005</v>
      </c>
      <c r="BE284" s="55">
        <f t="shared" si="65"/>
        <v>163.07000000000005</v>
      </c>
      <c r="BF284" s="55">
        <f t="shared" si="65"/>
        <v>170.16000000000005</v>
      </c>
      <c r="BG284" s="55">
        <f t="shared" si="65"/>
        <v>177.25000000000006</v>
      </c>
      <c r="BH284" s="55">
        <f t="shared" si="65"/>
        <v>184.34000000000006</v>
      </c>
      <c r="BI284" s="55">
        <f t="shared" si="65"/>
        <v>191.43000000000006</v>
      </c>
      <c r="BJ284" s="55">
        <f t="shared" si="65"/>
        <v>198.52000000000007</v>
      </c>
      <c r="BK284" s="55">
        <f t="shared" si="65"/>
        <v>205.61000000000007</v>
      </c>
      <c r="BL284" s="55">
        <f t="shared" si="65"/>
        <v>212.70000000000007</v>
      </c>
      <c r="BM284" s="55">
        <f t="shared" si="65"/>
        <v>219.79000000000008</v>
      </c>
      <c r="BN284" s="55">
        <f t="shared" si="65"/>
        <v>226.88000000000008</v>
      </c>
      <c r="BO284" s="55">
        <f t="shared" si="65"/>
        <v>233.97000000000008</v>
      </c>
      <c r="BP284" s="55">
        <f t="shared" si="65"/>
        <v>241.0600000000001</v>
      </c>
      <c r="BQ284" s="55">
        <f t="shared" si="65"/>
        <v>248.1500000000001</v>
      </c>
      <c r="BR284" s="55">
        <f t="shared" si="65"/>
        <v>255.2400000000001</v>
      </c>
      <c r="BS284" s="55">
        <f t="shared" si="65"/>
        <v>262.3300000000001</v>
      </c>
      <c r="BT284" s="55">
        <f t="shared" si="65"/>
        <v>269.4200000000001</v>
      </c>
      <c r="BU284" s="55">
        <f t="shared" si="65"/>
        <v>276.51000000000005</v>
      </c>
      <c r="BV284" s="55">
        <f t="shared" si="65"/>
        <v>283.6</v>
      </c>
      <c r="BW284" s="55">
        <f t="shared" si="65"/>
        <v>290.69</v>
      </c>
      <c r="BX284" s="55">
        <f t="shared" si="65"/>
        <v>297.78</v>
      </c>
      <c r="BY284" s="55">
        <f aca="true" t="shared" si="66" ref="BY284:CR284">(BX284+7.09)</f>
        <v>304.86999999999995</v>
      </c>
      <c r="BZ284" s="55">
        <f t="shared" si="66"/>
        <v>311.9599999999999</v>
      </c>
      <c r="CA284" s="55">
        <f t="shared" si="66"/>
        <v>319.0499999999999</v>
      </c>
      <c r="CB284" s="55">
        <f t="shared" si="66"/>
        <v>326.1399999999999</v>
      </c>
      <c r="CC284" s="55">
        <f t="shared" si="66"/>
        <v>333.22999999999985</v>
      </c>
      <c r="CD284" s="55">
        <f t="shared" si="66"/>
        <v>340.3199999999998</v>
      </c>
      <c r="CE284" s="55">
        <f t="shared" si="66"/>
        <v>347.4099999999998</v>
      </c>
      <c r="CF284" s="55">
        <f t="shared" si="66"/>
        <v>354.4999999999998</v>
      </c>
      <c r="CG284" s="55">
        <f t="shared" si="66"/>
        <v>361.58999999999975</v>
      </c>
      <c r="CH284" s="55">
        <f t="shared" si="66"/>
        <v>368.6799999999997</v>
      </c>
      <c r="CI284" s="55">
        <f t="shared" si="66"/>
        <v>375.7699999999997</v>
      </c>
      <c r="CJ284" s="55">
        <f t="shared" si="66"/>
        <v>382.8599999999997</v>
      </c>
      <c r="CK284" s="55">
        <f t="shared" si="66"/>
        <v>389.94999999999965</v>
      </c>
      <c r="CL284" s="55">
        <f t="shared" si="66"/>
        <v>397.0399999999996</v>
      </c>
      <c r="CM284" s="55">
        <f t="shared" si="66"/>
        <v>404.1299999999996</v>
      </c>
      <c r="CN284" s="55">
        <f t="shared" si="66"/>
        <v>411.2199999999996</v>
      </c>
      <c r="CO284" s="55">
        <f t="shared" si="66"/>
        <v>418.30999999999955</v>
      </c>
      <c r="CP284" s="55">
        <f t="shared" si="66"/>
        <v>425.3999999999995</v>
      </c>
      <c r="CQ284" s="55">
        <f t="shared" si="66"/>
        <v>432.4899999999995</v>
      </c>
      <c r="CR284" s="55">
        <f t="shared" si="66"/>
        <v>439.5799999999995</v>
      </c>
    </row>
    <row r="285" spans="1:57" s="59" customFormat="1" ht="15.75" customHeight="1" outlineLevel="2">
      <c r="A285" s="139">
        <v>12</v>
      </c>
      <c r="B285" s="117" t="s">
        <v>371</v>
      </c>
      <c r="C285" s="27" t="s">
        <v>564</v>
      </c>
      <c r="D285" s="104" t="s">
        <v>568</v>
      </c>
      <c r="E285" s="41"/>
      <c r="F285" s="142" t="s">
        <v>40</v>
      </c>
      <c r="G285" s="103" t="s">
        <v>47</v>
      </c>
      <c r="H285" s="76">
        <v>20.91</v>
      </c>
      <c r="I285" s="45">
        <v>1.2</v>
      </c>
      <c r="J285" s="55">
        <v>15</v>
      </c>
      <c r="K285" s="55">
        <f t="shared" si="46"/>
        <v>376.38</v>
      </c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174">
        <f aca="true" t="shared" si="67" ref="AI285:BE285">(AH285+37.64)</f>
        <v>37.64</v>
      </c>
      <c r="AJ285" s="55">
        <f t="shared" si="67"/>
        <v>75.28</v>
      </c>
      <c r="AK285" s="55">
        <f t="shared" si="67"/>
        <v>112.92</v>
      </c>
      <c r="AL285" s="55">
        <f t="shared" si="67"/>
        <v>150.56</v>
      </c>
      <c r="AM285" s="55">
        <f t="shared" si="67"/>
        <v>188.2</v>
      </c>
      <c r="AN285" s="55">
        <f t="shared" si="67"/>
        <v>225.83999999999997</v>
      </c>
      <c r="AO285" s="55">
        <f t="shared" si="67"/>
        <v>263.47999999999996</v>
      </c>
      <c r="AP285" s="55">
        <f t="shared" si="67"/>
        <v>301.11999999999995</v>
      </c>
      <c r="AQ285" s="55">
        <f t="shared" si="67"/>
        <v>338.75999999999993</v>
      </c>
      <c r="AR285" s="55">
        <f t="shared" si="67"/>
        <v>376.3999999999999</v>
      </c>
      <c r="AS285" s="55">
        <f t="shared" si="67"/>
        <v>414.0399999999999</v>
      </c>
      <c r="AT285" s="55">
        <f t="shared" si="67"/>
        <v>451.6799999999999</v>
      </c>
      <c r="AU285" s="55">
        <f t="shared" si="67"/>
        <v>489.3199999999999</v>
      </c>
      <c r="AV285" s="55">
        <f t="shared" si="67"/>
        <v>526.9599999999999</v>
      </c>
      <c r="AW285" s="55">
        <f t="shared" si="67"/>
        <v>564.5999999999999</v>
      </c>
      <c r="AX285" s="55">
        <f t="shared" si="67"/>
        <v>602.2399999999999</v>
      </c>
      <c r="AY285" s="55">
        <f t="shared" si="67"/>
        <v>639.8799999999999</v>
      </c>
      <c r="AZ285" s="55">
        <f t="shared" si="67"/>
        <v>677.5199999999999</v>
      </c>
      <c r="BA285" s="55">
        <f t="shared" si="67"/>
        <v>715.1599999999999</v>
      </c>
      <c r="BB285" s="55">
        <f t="shared" si="67"/>
        <v>752.7999999999998</v>
      </c>
      <c r="BC285" s="55">
        <f t="shared" si="67"/>
        <v>790.4399999999998</v>
      </c>
      <c r="BD285" s="55">
        <f t="shared" si="67"/>
        <v>828.0799999999998</v>
      </c>
      <c r="BE285" s="55">
        <f t="shared" si="67"/>
        <v>865.7199999999998</v>
      </c>
    </row>
    <row r="286" spans="1:55" s="59" customFormat="1" ht="15.75" customHeight="1" outlineLevel="2">
      <c r="A286" s="139">
        <v>13</v>
      </c>
      <c r="B286" s="117" t="s">
        <v>371</v>
      </c>
      <c r="C286" s="27" t="s">
        <v>565</v>
      </c>
      <c r="D286" s="27" t="s">
        <v>46</v>
      </c>
      <c r="E286" s="41"/>
      <c r="F286" s="142" t="s">
        <v>40</v>
      </c>
      <c r="G286" s="103" t="s">
        <v>47</v>
      </c>
      <c r="H286" s="76">
        <v>320.388</v>
      </c>
      <c r="I286" s="45">
        <v>1.2</v>
      </c>
      <c r="J286" s="55">
        <v>15</v>
      </c>
      <c r="K286" s="55">
        <f t="shared" si="46"/>
        <v>5766.9839999999995</v>
      </c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174">
        <f aca="true" t="shared" si="68" ref="AI286:BC286">(AH286+576.7)</f>
        <v>576.7</v>
      </c>
      <c r="AJ286" s="55">
        <f t="shared" si="68"/>
        <v>1153.4</v>
      </c>
      <c r="AK286" s="55">
        <f t="shared" si="68"/>
        <v>1730.1000000000001</v>
      </c>
      <c r="AL286" s="55">
        <f t="shared" si="68"/>
        <v>2306.8</v>
      </c>
      <c r="AM286" s="55">
        <f t="shared" si="68"/>
        <v>2883.5</v>
      </c>
      <c r="AN286" s="55">
        <f t="shared" si="68"/>
        <v>3460.2</v>
      </c>
      <c r="AO286" s="55">
        <f t="shared" si="68"/>
        <v>4036.8999999999996</v>
      </c>
      <c r="AP286" s="55">
        <f t="shared" si="68"/>
        <v>4613.599999999999</v>
      </c>
      <c r="AQ286" s="55">
        <f t="shared" si="68"/>
        <v>5190.299999999999</v>
      </c>
      <c r="AR286" s="55">
        <f t="shared" si="68"/>
        <v>5766.999999999999</v>
      </c>
      <c r="AS286" s="55">
        <f t="shared" si="68"/>
        <v>6343.699999999999</v>
      </c>
      <c r="AT286" s="55">
        <f t="shared" si="68"/>
        <v>6920.399999999999</v>
      </c>
      <c r="AU286" s="55">
        <f t="shared" si="68"/>
        <v>7497.0999999999985</v>
      </c>
      <c r="AV286" s="55">
        <f t="shared" si="68"/>
        <v>8073.799999999998</v>
      </c>
      <c r="AW286" s="55">
        <f t="shared" si="68"/>
        <v>8650.499999999998</v>
      </c>
      <c r="AX286" s="55">
        <f t="shared" si="68"/>
        <v>9227.199999999999</v>
      </c>
      <c r="AY286" s="55">
        <f t="shared" si="68"/>
        <v>9803.9</v>
      </c>
      <c r="AZ286" s="55">
        <f t="shared" si="68"/>
        <v>10380.6</v>
      </c>
      <c r="BA286" s="55">
        <f t="shared" si="68"/>
        <v>10957.300000000001</v>
      </c>
      <c r="BB286" s="55">
        <f t="shared" si="68"/>
        <v>11534.000000000002</v>
      </c>
      <c r="BC286" s="55">
        <f t="shared" si="68"/>
        <v>12110.700000000003</v>
      </c>
    </row>
    <row r="287" spans="1:55" s="59" customFormat="1" ht="15.75" customHeight="1" outlineLevel="2">
      <c r="A287" s="139">
        <v>14</v>
      </c>
      <c r="B287" s="117" t="s">
        <v>371</v>
      </c>
      <c r="C287" s="27" t="s">
        <v>566</v>
      </c>
      <c r="D287" s="231" t="s">
        <v>569</v>
      </c>
      <c r="E287" s="41"/>
      <c r="F287" s="49" t="s">
        <v>21</v>
      </c>
      <c r="G287" s="103" t="s">
        <v>47</v>
      </c>
      <c r="H287" s="76">
        <v>16.678</v>
      </c>
      <c r="I287" s="45">
        <v>1.2</v>
      </c>
      <c r="J287" s="55">
        <v>15</v>
      </c>
      <c r="K287" s="55">
        <f t="shared" si="46"/>
        <v>300.204</v>
      </c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174">
        <f aca="true" t="shared" si="69" ref="AI287:BC287">(AH287+30.02)</f>
        <v>30.02</v>
      </c>
      <c r="AJ287" s="55">
        <f t="shared" si="69"/>
        <v>60.04</v>
      </c>
      <c r="AK287" s="55">
        <f t="shared" si="69"/>
        <v>90.06</v>
      </c>
      <c r="AL287" s="55">
        <f t="shared" si="69"/>
        <v>120.08</v>
      </c>
      <c r="AM287" s="55">
        <f t="shared" si="69"/>
        <v>150.1</v>
      </c>
      <c r="AN287" s="55">
        <f t="shared" si="69"/>
        <v>180.12</v>
      </c>
      <c r="AO287" s="55">
        <f t="shared" si="69"/>
        <v>210.14000000000001</v>
      </c>
      <c r="AP287" s="55">
        <f t="shared" si="69"/>
        <v>240.16000000000003</v>
      </c>
      <c r="AQ287" s="55">
        <f t="shared" si="69"/>
        <v>270.18</v>
      </c>
      <c r="AR287" s="55">
        <f t="shared" si="69"/>
        <v>300.2</v>
      </c>
      <c r="AS287" s="55">
        <f t="shared" si="69"/>
        <v>330.21999999999997</v>
      </c>
      <c r="AT287" s="55">
        <f t="shared" si="69"/>
        <v>360.23999999999995</v>
      </c>
      <c r="AU287" s="55">
        <f t="shared" si="69"/>
        <v>390.25999999999993</v>
      </c>
      <c r="AV287" s="55">
        <f t="shared" si="69"/>
        <v>420.2799999999999</v>
      </c>
      <c r="AW287" s="55">
        <f t="shared" si="69"/>
        <v>450.2999999999999</v>
      </c>
      <c r="AX287" s="55">
        <f t="shared" si="69"/>
        <v>480.3199999999999</v>
      </c>
      <c r="AY287" s="55">
        <f t="shared" si="69"/>
        <v>510.33999999999986</v>
      </c>
      <c r="AZ287" s="55">
        <f t="shared" si="69"/>
        <v>540.3599999999999</v>
      </c>
      <c r="BA287" s="55">
        <f t="shared" si="69"/>
        <v>570.3799999999999</v>
      </c>
      <c r="BB287" s="55">
        <f t="shared" si="69"/>
        <v>600.3999999999999</v>
      </c>
      <c r="BC287" s="55">
        <f t="shared" si="69"/>
        <v>630.4199999999998</v>
      </c>
    </row>
    <row r="288" spans="1:55" s="59" customFormat="1" ht="15.75" customHeight="1" outlineLevel="2">
      <c r="A288" s="139">
        <v>15</v>
      </c>
      <c r="B288" s="117" t="s">
        <v>371</v>
      </c>
      <c r="C288" s="27" t="s">
        <v>567</v>
      </c>
      <c r="D288" s="231" t="s">
        <v>569</v>
      </c>
      <c r="E288" s="41"/>
      <c r="F288" s="49" t="s">
        <v>21</v>
      </c>
      <c r="G288" s="103" t="s">
        <v>47</v>
      </c>
      <c r="H288" s="76">
        <v>80.476</v>
      </c>
      <c r="I288" s="45">
        <v>1.2</v>
      </c>
      <c r="J288" s="55">
        <v>15</v>
      </c>
      <c r="K288" s="55">
        <f t="shared" si="46"/>
        <v>1448.5679999999998</v>
      </c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174">
        <f aca="true" t="shared" si="70" ref="AI288:BC288">(AH288+144.86)</f>
        <v>144.86</v>
      </c>
      <c r="AJ288" s="55">
        <f t="shared" si="70"/>
        <v>289.72</v>
      </c>
      <c r="AK288" s="55">
        <f t="shared" si="70"/>
        <v>434.58000000000004</v>
      </c>
      <c r="AL288" s="55">
        <f t="shared" si="70"/>
        <v>579.44</v>
      </c>
      <c r="AM288" s="55">
        <f t="shared" si="70"/>
        <v>724.3000000000001</v>
      </c>
      <c r="AN288" s="55">
        <f t="shared" si="70"/>
        <v>869.1600000000001</v>
      </c>
      <c r="AO288" s="55">
        <f t="shared" si="70"/>
        <v>1014.0200000000001</v>
      </c>
      <c r="AP288" s="55">
        <f t="shared" si="70"/>
        <v>1158.88</v>
      </c>
      <c r="AQ288" s="55">
        <f t="shared" si="70"/>
        <v>1303.7400000000002</v>
      </c>
      <c r="AR288" s="55">
        <f t="shared" si="70"/>
        <v>1448.6000000000004</v>
      </c>
      <c r="AS288" s="55">
        <f t="shared" si="70"/>
        <v>1593.4600000000005</v>
      </c>
      <c r="AT288" s="55">
        <f t="shared" si="70"/>
        <v>1738.3200000000006</v>
      </c>
      <c r="AU288" s="55">
        <f t="shared" si="70"/>
        <v>1883.1800000000007</v>
      </c>
      <c r="AV288" s="55">
        <f t="shared" si="70"/>
        <v>2028.0400000000009</v>
      </c>
      <c r="AW288" s="55">
        <f t="shared" si="70"/>
        <v>2172.900000000001</v>
      </c>
      <c r="AX288" s="55">
        <f t="shared" si="70"/>
        <v>2317.760000000001</v>
      </c>
      <c r="AY288" s="55">
        <f t="shared" si="70"/>
        <v>2462.6200000000013</v>
      </c>
      <c r="AZ288" s="55">
        <f t="shared" si="70"/>
        <v>2607.4800000000014</v>
      </c>
      <c r="BA288" s="55">
        <f t="shared" si="70"/>
        <v>2752.3400000000015</v>
      </c>
      <c r="BB288" s="55">
        <f t="shared" si="70"/>
        <v>2897.2000000000016</v>
      </c>
      <c r="BC288" s="55">
        <f t="shared" si="70"/>
        <v>3042.0600000000018</v>
      </c>
    </row>
    <row r="289" spans="1:34" s="59" customFormat="1" ht="15.75" customHeight="1" outlineLevel="1">
      <c r="A289" s="139"/>
      <c r="B289" s="125" t="s">
        <v>590</v>
      </c>
      <c r="C289" s="27"/>
      <c r="D289" s="104"/>
      <c r="E289" s="41"/>
      <c r="F289" s="142"/>
      <c r="G289" s="126"/>
      <c r="H289" s="90">
        <f>SUBTOTAL(9,H274:H288)</f>
        <v>477.889</v>
      </c>
      <c r="I289" s="45"/>
      <c r="J289" s="54"/>
      <c r="K289" s="55"/>
      <c r="L289" s="62"/>
      <c r="M289" s="62"/>
      <c r="N289" s="97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</row>
    <row r="290" spans="1:34" s="3" customFormat="1" ht="15.75" customHeight="1" outlineLevel="1">
      <c r="A290" s="139"/>
      <c r="B290" s="108"/>
      <c r="C290" s="27"/>
      <c r="D290" s="104"/>
      <c r="E290" s="41"/>
      <c r="F290" s="142"/>
      <c r="G290" s="126"/>
      <c r="H290" s="76"/>
      <c r="I290" s="45"/>
      <c r="J290" s="54"/>
      <c r="K290" s="55"/>
      <c r="L290" s="62"/>
      <c r="M290" s="62"/>
      <c r="N290" s="97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</row>
    <row r="291" spans="1:70" s="12" customFormat="1" ht="15.75" customHeight="1" outlineLevel="1">
      <c r="A291" s="139"/>
      <c r="B291" s="31"/>
      <c r="C291" s="27"/>
      <c r="D291" s="27"/>
      <c r="E291" s="41"/>
      <c r="F291" s="45"/>
      <c r="G291" s="38"/>
      <c r="H291" s="90"/>
      <c r="I291" s="45"/>
      <c r="J291" s="54"/>
      <c r="K291" s="55"/>
      <c r="L291" s="62"/>
      <c r="M291" s="62"/>
      <c r="N291" s="97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1:70" s="12" customFormat="1" ht="15.75" customHeight="1" outlineLevel="1">
      <c r="A292" s="139"/>
      <c r="B292" s="43"/>
      <c r="C292" s="65"/>
      <c r="D292" s="27"/>
      <c r="E292" s="37"/>
      <c r="F292" s="49"/>
      <c r="G292" s="38"/>
      <c r="H292" s="39"/>
      <c r="I292" s="49"/>
      <c r="J292" s="54"/>
      <c r="K292" s="55"/>
      <c r="L292" s="62"/>
      <c r="M292" s="62"/>
      <c r="N292" s="97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1:70" s="1" customFormat="1" ht="15.75" customHeight="1" outlineLevel="1">
      <c r="A293" s="139"/>
      <c r="B293" s="43"/>
      <c r="C293" s="69"/>
      <c r="D293" s="27"/>
      <c r="E293" s="28"/>
      <c r="F293" s="142"/>
      <c r="G293" s="142"/>
      <c r="H293" s="27"/>
      <c r="I293" s="45"/>
      <c r="J293" s="54"/>
      <c r="K293" s="55"/>
      <c r="L293" s="62"/>
      <c r="M293" s="62"/>
      <c r="N293" s="97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1:70" s="1" customFormat="1" ht="15.75" customHeight="1" outlineLevel="1">
      <c r="A294" s="139"/>
      <c r="B294" s="141"/>
      <c r="C294" s="69"/>
      <c r="D294" s="27"/>
      <c r="E294" s="28"/>
      <c r="F294" s="142"/>
      <c r="G294" s="142"/>
      <c r="H294" s="27"/>
      <c r="I294" s="45"/>
      <c r="J294" s="54"/>
      <c r="K294" s="55"/>
      <c r="L294" s="62"/>
      <c r="M294" s="62"/>
      <c r="N294" s="97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1:70" s="4" customFormat="1" ht="15.75" customHeight="1" outlineLevel="2">
      <c r="A295" s="139">
        <v>1</v>
      </c>
      <c r="B295" s="36" t="s">
        <v>370</v>
      </c>
      <c r="C295" s="65" t="s">
        <v>397</v>
      </c>
      <c r="D295" s="139" t="s">
        <v>97</v>
      </c>
      <c r="E295" s="37" t="s">
        <v>16</v>
      </c>
      <c r="F295" s="35" t="s">
        <v>16</v>
      </c>
      <c r="G295" s="36" t="s">
        <v>28</v>
      </c>
      <c r="H295" s="83">
        <v>0.133</v>
      </c>
      <c r="I295" s="49">
        <v>1</v>
      </c>
      <c r="J295" s="55">
        <v>20</v>
      </c>
      <c r="K295" s="55">
        <f t="shared" si="46"/>
        <v>2.66</v>
      </c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</row>
    <row r="296" spans="1:70" s="6" customFormat="1" ht="15.75" customHeight="1" outlineLevel="2">
      <c r="A296" s="139">
        <v>2</v>
      </c>
      <c r="B296" s="36" t="s">
        <v>370</v>
      </c>
      <c r="C296" s="65" t="s">
        <v>412</v>
      </c>
      <c r="D296" s="139" t="s">
        <v>97</v>
      </c>
      <c r="E296" s="37" t="s">
        <v>40</v>
      </c>
      <c r="F296" s="35" t="s">
        <v>40</v>
      </c>
      <c r="G296" s="36" t="s">
        <v>91</v>
      </c>
      <c r="H296" s="39">
        <v>0.501</v>
      </c>
      <c r="I296" s="132">
        <v>0.7</v>
      </c>
      <c r="J296" s="55">
        <v>20</v>
      </c>
      <c r="K296" s="55">
        <f t="shared" si="46"/>
        <v>7.013999999999999</v>
      </c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174">
        <f>(AH296+0.7)</f>
        <v>0.7</v>
      </c>
      <c r="AJ296" s="55">
        <f>(AI296+0.7)</f>
        <v>1.4</v>
      </c>
      <c r="AK296" s="55">
        <f>(AJ296+0.7)</f>
        <v>2.0999999999999996</v>
      </c>
      <c r="AL296" s="55">
        <f>(AK296+0.7)</f>
        <v>2.8</v>
      </c>
      <c r="AM296" s="55">
        <f aca="true" t="shared" si="71" ref="AM296:BQ296">(AL296+0.7)</f>
        <v>3.5</v>
      </c>
      <c r="AN296" s="55">
        <f t="shared" si="71"/>
        <v>4.2</v>
      </c>
      <c r="AO296" s="55">
        <f t="shared" si="71"/>
        <v>4.9</v>
      </c>
      <c r="AP296" s="55">
        <f t="shared" si="71"/>
        <v>5.6000000000000005</v>
      </c>
      <c r="AQ296" s="55">
        <f t="shared" si="71"/>
        <v>6.300000000000001</v>
      </c>
      <c r="AR296" s="55">
        <f t="shared" si="71"/>
        <v>7.000000000000001</v>
      </c>
      <c r="AS296" s="55">
        <f t="shared" si="71"/>
        <v>7.700000000000001</v>
      </c>
      <c r="AT296" s="55">
        <f t="shared" si="71"/>
        <v>8.4</v>
      </c>
      <c r="AU296" s="55">
        <f t="shared" si="71"/>
        <v>9.1</v>
      </c>
      <c r="AV296" s="55">
        <f t="shared" si="71"/>
        <v>9.799999999999999</v>
      </c>
      <c r="AW296" s="55">
        <f t="shared" si="71"/>
        <v>10.499999999999998</v>
      </c>
      <c r="AX296" s="55">
        <f t="shared" si="71"/>
        <v>11.199999999999998</v>
      </c>
      <c r="AY296" s="55">
        <f t="shared" si="71"/>
        <v>11.899999999999997</v>
      </c>
      <c r="AZ296" s="55">
        <f t="shared" si="71"/>
        <v>12.599999999999996</v>
      </c>
      <c r="BA296" s="55">
        <f t="shared" si="71"/>
        <v>13.299999999999995</v>
      </c>
      <c r="BB296" s="55">
        <f t="shared" si="71"/>
        <v>13.999999999999995</v>
      </c>
      <c r="BC296" s="55">
        <f t="shared" si="71"/>
        <v>14.699999999999994</v>
      </c>
      <c r="BD296" s="55">
        <f t="shared" si="71"/>
        <v>15.399999999999993</v>
      </c>
      <c r="BE296" s="55">
        <f t="shared" si="71"/>
        <v>16.099999999999994</v>
      </c>
      <c r="BF296" s="55">
        <f t="shared" si="71"/>
        <v>16.799999999999994</v>
      </c>
      <c r="BG296" s="55">
        <f t="shared" si="71"/>
        <v>17.499999999999993</v>
      </c>
      <c r="BH296" s="55">
        <f t="shared" si="71"/>
        <v>18.199999999999992</v>
      </c>
      <c r="BI296" s="55">
        <f t="shared" si="71"/>
        <v>18.89999999999999</v>
      </c>
      <c r="BJ296" s="55">
        <f t="shared" si="71"/>
        <v>19.59999999999999</v>
      </c>
      <c r="BK296" s="55">
        <f t="shared" si="71"/>
        <v>20.29999999999999</v>
      </c>
      <c r="BL296" s="55">
        <f t="shared" si="71"/>
        <v>20.99999999999999</v>
      </c>
      <c r="BM296" s="55">
        <f t="shared" si="71"/>
        <v>21.69999999999999</v>
      </c>
      <c r="BN296" s="55">
        <f t="shared" si="71"/>
        <v>22.399999999999988</v>
      </c>
      <c r="BO296" s="55">
        <f t="shared" si="71"/>
        <v>23.099999999999987</v>
      </c>
      <c r="BP296" s="55">
        <f t="shared" si="71"/>
        <v>23.799999999999986</v>
      </c>
      <c r="BQ296" s="55">
        <f t="shared" si="71"/>
        <v>24.499999999999986</v>
      </c>
      <c r="BR296" s="2"/>
    </row>
    <row r="297" spans="1:70" s="6" customFormat="1" ht="15.75" customHeight="1" outlineLevel="2">
      <c r="A297" s="139">
        <v>3</v>
      </c>
      <c r="B297" s="36" t="s">
        <v>370</v>
      </c>
      <c r="C297" s="65" t="s">
        <v>399</v>
      </c>
      <c r="D297" s="139" t="s">
        <v>97</v>
      </c>
      <c r="E297" s="37" t="s">
        <v>11</v>
      </c>
      <c r="F297" s="35" t="s">
        <v>11</v>
      </c>
      <c r="G297" s="36" t="s">
        <v>91</v>
      </c>
      <c r="H297" s="78">
        <v>0.86</v>
      </c>
      <c r="I297" s="49">
        <v>1</v>
      </c>
      <c r="J297" s="55">
        <v>20</v>
      </c>
      <c r="K297" s="55">
        <f t="shared" si="46"/>
        <v>17.2</v>
      </c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174">
        <f>(AH297+1.72)</f>
        <v>1.72</v>
      </c>
      <c r="AJ297" s="55">
        <f>(AI297+1.72)</f>
        <v>3.44</v>
      </c>
      <c r="AK297" s="55">
        <f>(AJ297+1.72)</f>
        <v>5.16</v>
      </c>
      <c r="AL297" s="55">
        <f>(AK297+1.72)</f>
        <v>6.88</v>
      </c>
      <c r="AM297" s="55">
        <f aca="true" t="shared" si="72" ref="AM297:BD297">(AL297+1.72)</f>
        <v>8.6</v>
      </c>
      <c r="AN297" s="55">
        <f t="shared" si="72"/>
        <v>10.32</v>
      </c>
      <c r="AO297" s="55">
        <f t="shared" si="72"/>
        <v>12.040000000000001</v>
      </c>
      <c r="AP297" s="55">
        <f t="shared" si="72"/>
        <v>13.760000000000002</v>
      </c>
      <c r="AQ297" s="55">
        <f t="shared" si="72"/>
        <v>15.480000000000002</v>
      </c>
      <c r="AR297" s="55">
        <f t="shared" si="72"/>
        <v>17.200000000000003</v>
      </c>
      <c r="AS297" s="55">
        <f t="shared" si="72"/>
        <v>18.92</v>
      </c>
      <c r="AT297" s="55">
        <f t="shared" si="72"/>
        <v>20.64</v>
      </c>
      <c r="AU297" s="55">
        <f t="shared" si="72"/>
        <v>22.36</v>
      </c>
      <c r="AV297" s="55">
        <f t="shared" si="72"/>
        <v>24.08</v>
      </c>
      <c r="AW297" s="55">
        <f t="shared" si="72"/>
        <v>25.799999999999997</v>
      </c>
      <c r="AX297" s="55">
        <f t="shared" si="72"/>
        <v>27.519999999999996</v>
      </c>
      <c r="AY297" s="55">
        <f t="shared" si="72"/>
        <v>29.239999999999995</v>
      </c>
      <c r="AZ297" s="55">
        <f t="shared" si="72"/>
        <v>30.959999999999994</v>
      </c>
      <c r="BA297" s="55">
        <f t="shared" si="72"/>
        <v>32.67999999999999</v>
      </c>
      <c r="BB297" s="55">
        <f t="shared" si="72"/>
        <v>34.39999999999999</v>
      </c>
      <c r="BC297" s="55">
        <f t="shared" si="72"/>
        <v>36.11999999999999</v>
      </c>
      <c r="BD297" s="55">
        <f t="shared" si="72"/>
        <v>37.83999999999999</v>
      </c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1:70" s="3" customFormat="1" ht="15.75" customHeight="1" outlineLevel="2">
      <c r="A298" s="139">
        <v>4</v>
      </c>
      <c r="B298" s="36" t="s">
        <v>370</v>
      </c>
      <c r="C298" s="65" t="s">
        <v>398</v>
      </c>
      <c r="D298" s="139" t="s">
        <v>97</v>
      </c>
      <c r="E298" s="37" t="s">
        <v>11</v>
      </c>
      <c r="F298" s="35" t="s">
        <v>11</v>
      </c>
      <c r="G298" s="36" t="s">
        <v>91</v>
      </c>
      <c r="H298" s="39">
        <v>0.132</v>
      </c>
      <c r="I298" s="49">
        <v>1</v>
      </c>
      <c r="J298" s="55">
        <v>20</v>
      </c>
      <c r="K298" s="55">
        <f t="shared" si="46"/>
        <v>2.64</v>
      </c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174">
        <f aca="true" t="shared" si="73" ref="AI298:AN298">(AH298+0.26)</f>
        <v>0.26</v>
      </c>
      <c r="AJ298" s="55">
        <f t="shared" si="73"/>
        <v>0.52</v>
      </c>
      <c r="AK298" s="55">
        <f t="shared" si="73"/>
        <v>0.78</v>
      </c>
      <c r="AL298" s="55">
        <f t="shared" si="73"/>
        <v>1.04</v>
      </c>
      <c r="AM298" s="55">
        <f t="shared" si="73"/>
        <v>1.3</v>
      </c>
      <c r="AN298" s="55">
        <f t="shared" si="73"/>
        <v>1.56</v>
      </c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1:70" s="3" customFormat="1" ht="15.75" customHeight="1" outlineLevel="2">
      <c r="A299" s="139">
        <v>5</v>
      </c>
      <c r="B299" s="36" t="s">
        <v>370</v>
      </c>
      <c r="C299" s="65" t="s">
        <v>400</v>
      </c>
      <c r="D299" s="139" t="s">
        <v>97</v>
      </c>
      <c r="E299" s="37" t="s">
        <v>11</v>
      </c>
      <c r="F299" s="35" t="s">
        <v>11</v>
      </c>
      <c r="G299" s="36" t="s">
        <v>91</v>
      </c>
      <c r="H299" s="39">
        <v>0.062</v>
      </c>
      <c r="I299" s="49">
        <v>1</v>
      </c>
      <c r="J299" s="55">
        <v>20</v>
      </c>
      <c r="K299" s="55">
        <f t="shared" si="46"/>
        <v>1.24</v>
      </c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174">
        <f aca="true" t="shared" si="74" ref="AI299:AZ299">(AH299+0.12)</f>
        <v>0.12</v>
      </c>
      <c r="AJ299" s="55">
        <f t="shared" si="74"/>
        <v>0.24</v>
      </c>
      <c r="AK299" s="55">
        <f t="shared" si="74"/>
        <v>0.36</v>
      </c>
      <c r="AL299" s="55">
        <f t="shared" si="74"/>
        <v>0.48</v>
      </c>
      <c r="AM299" s="55">
        <f t="shared" si="74"/>
        <v>0.6</v>
      </c>
      <c r="AN299" s="55">
        <f t="shared" si="74"/>
        <v>0.72</v>
      </c>
      <c r="AO299" s="55">
        <f t="shared" si="74"/>
        <v>0.84</v>
      </c>
      <c r="AP299" s="55">
        <f t="shared" si="74"/>
        <v>0.96</v>
      </c>
      <c r="AQ299" s="55">
        <f t="shared" si="74"/>
        <v>1.08</v>
      </c>
      <c r="AR299" s="55">
        <f t="shared" si="74"/>
        <v>1.2000000000000002</v>
      </c>
      <c r="AS299" s="55">
        <f t="shared" si="74"/>
        <v>1.3200000000000003</v>
      </c>
      <c r="AT299" s="55">
        <f t="shared" si="74"/>
        <v>1.4400000000000004</v>
      </c>
      <c r="AU299" s="55">
        <f t="shared" si="74"/>
        <v>1.5600000000000005</v>
      </c>
      <c r="AV299" s="55">
        <f t="shared" si="74"/>
        <v>1.6800000000000006</v>
      </c>
      <c r="AW299" s="55">
        <f t="shared" si="74"/>
        <v>1.8000000000000007</v>
      </c>
      <c r="AX299" s="55">
        <f t="shared" si="74"/>
        <v>1.9200000000000008</v>
      </c>
      <c r="AY299" s="55">
        <f t="shared" si="74"/>
        <v>2.040000000000001</v>
      </c>
      <c r="AZ299" s="55">
        <f t="shared" si="74"/>
        <v>2.160000000000001</v>
      </c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1:72" s="3" customFormat="1" ht="15.75" customHeight="1" outlineLevel="2">
      <c r="A300" s="139">
        <v>6</v>
      </c>
      <c r="B300" s="36" t="s">
        <v>370</v>
      </c>
      <c r="C300" s="27" t="s">
        <v>435</v>
      </c>
      <c r="D300" s="27" t="s">
        <v>436</v>
      </c>
      <c r="E300" s="41" t="s">
        <v>40</v>
      </c>
      <c r="F300" s="142" t="s">
        <v>40</v>
      </c>
      <c r="G300" s="36" t="s">
        <v>28</v>
      </c>
      <c r="H300" s="27">
        <v>3.364</v>
      </c>
      <c r="I300" s="132">
        <v>0.7</v>
      </c>
      <c r="J300" s="55">
        <v>20</v>
      </c>
      <c r="K300" s="55">
        <f t="shared" si="46"/>
        <v>47.09599999999999</v>
      </c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174">
        <f aca="true" t="shared" si="75" ref="AI300:BT300">(AH300+4.71)</f>
        <v>4.71</v>
      </c>
      <c r="AJ300" s="55">
        <f t="shared" si="75"/>
        <v>9.42</v>
      </c>
      <c r="AK300" s="55">
        <f t="shared" si="75"/>
        <v>14.129999999999999</v>
      </c>
      <c r="AL300" s="55">
        <f t="shared" si="75"/>
        <v>18.84</v>
      </c>
      <c r="AM300" s="55">
        <f t="shared" si="75"/>
        <v>23.55</v>
      </c>
      <c r="AN300" s="55">
        <f t="shared" si="75"/>
        <v>28.26</v>
      </c>
      <c r="AO300" s="55">
        <f t="shared" si="75"/>
        <v>32.97</v>
      </c>
      <c r="AP300" s="55">
        <f t="shared" si="75"/>
        <v>37.68</v>
      </c>
      <c r="AQ300" s="55">
        <f t="shared" si="75"/>
        <v>42.39</v>
      </c>
      <c r="AR300" s="55">
        <f t="shared" si="75"/>
        <v>47.1</v>
      </c>
      <c r="AS300" s="55">
        <f t="shared" si="75"/>
        <v>51.81</v>
      </c>
      <c r="AT300" s="55">
        <f t="shared" si="75"/>
        <v>56.52</v>
      </c>
      <c r="AU300" s="55">
        <f t="shared" si="75"/>
        <v>61.230000000000004</v>
      </c>
      <c r="AV300" s="55">
        <f t="shared" si="75"/>
        <v>65.94</v>
      </c>
      <c r="AW300" s="55">
        <f t="shared" si="75"/>
        <v>70.64999999999999</v>
      </c>
      <c r="AX300" s="55">
        <f t="shared" si="75"/>
        <v>75.35999999999999</v>
      </c>
      <c r="AY300" s="55">
        <f t="shared" si="75"/>
        <v>80.06999999999998</v>
      </c>
      <c r="AZ300" s="55">
        <f t="shared" si="75"/>
        <v>84.77999999999997</v>
      </c>
      <c r="BA300" s="55">
        <f t="shared" si="75"/>
        <v>89.48999999999997</v>
      </c>
      <c r="BB300" s="55">
        <f t="shared" si="75"/>
        <v>94.19999999999996</v>
      </c>
      <c r="BC300" s="55">
        <f t="shared" si="75"/>
        <v>98.90999999999995</v>
      </c>
      <c r="BD300" s="55">
        <f t="shared" si="75"/>
        <v>103.61999999999995</v>
      </c>
      <c r="BE300" s="55">
        <f t="shared" si="75"/>
        <v>108.32999999999994</v>
      </c>
      <c r="BF300" s="55">
        <f t="shared" si="75"/>
        <v>113.03999999999994</v>
      </c>
      <c r="BG300" s="55">
        <f t="shared" si="75"/>
        <v>117.74999999999993</v>
      </c>
      <c r="BH300" s="55">
        <f t="shared" si="75"/>
        <v>122.45999999999992</v>
      </c>
      <c r="BI300" s="55">
        <f t="shared" si="75"/>
        <v>127.16999999999992</v>
      </c>
      <c r="BJ300" s="55">
        <f t="shared" si="75"/>
        <v>131.8799999999999</v>
      </c>
      <c r="BK300" s="55">
        <f t="shared" si="75"/>
        <v>136.58999999999992</v>
      </c>
      <c r="BL300" s="55">
        <f t="shared" si="75"/>
        <v>141.29999999999993</v>
      </c>
      <c r="BM300" s="55">
        <f t="shared" si="75"/>
        <v>146.00999999999993</v>
      </c>
      <c r="BN300" s="55">
        <f t="shared" si="75"/>
        <v>150.71999999999994</v>
      </c>
      <c r="BO300" s="55">
        <f t="shared" si="75"/>
        <v>155.42999999999995</v>
      </c>
      <c r="BP300" s="55">
        <f t="shared" si="75"/>
        <v>160.13999999999996</v>
      </c>
      <c r="BQ300" s="55">
        <f t="shared" si="75"/>
        <v>164.84999999999997</v>
      </c>
      <c r="BR300" s="55">
        <f t="shared" si="75"/>
        <v>169.55999999999997</v>
      </c>
      <c r="BS300" s="55">
        <f t="shared" si="75"/>
        <v>174.26999999999998</v>
      </c>
      <c r="BT300" s="55">
        <f t="shared" si="75"/>
        <v>178.98</v>
      </c>
    </row>
    <row r="301" spans="1:70" s="12" customFormat="1" ht="15.75" customHeight="1" outlineLevel="2">
      <c r="A301" s="139">
        <v>7</v>
      </c>
      <c r="B301" s="36" t="s">
        <v>370</v>
      </c>
      <c r="C301" s="65" t="s">
        <v>416</v>
      </c>
      <c r="D301" s="139" t="s">
        <v>99</v>
      </c>
      <c r="E301" s="28" t="s">
        <v>16</v>
      </c>
      <c r="F301" s="142" t="s">
        <v>16</v>
      </c>
      <c r="G301" s="47" t="s">
        <v>28</v>
      </c>
      <c r="H301" s="80">
        <v>3.101</v>
      </c>
      <c r="I301" s="45">
        <v>1</v>
      </c>
      <c r="J301" s="55">
        <v>20</v>
      </c>
      <c r="K301" s="55">
        <f t="shared" si="46"/>
        <v>62.019999999999996</v>
      </c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174">
        <f aca="true" t="shared" si="76" ref="AI301:AZ301">(AH301+6.2)</f>
        <v>6.2</v>
      </c>
      <c r="AJ301" s="55">
        <f t="shared" si="76"/>
        <v>12.4</v>
      </c>
      <c r="AK301" s="55">
        <f t="shared" si="76"/>
        <v>18.6</v>
      </c>
      <c r="AL301" s="55">
        <f t="shared" si="76"/>
        <v>24.8</v>
      </c>
      <c r="AM301" s="55">
        <f t="shared" si="76"/>
        <v>31</v>
      </c>
      <c r="AN301" s="55">
        <f t="shared" si="76"/>
        <v>37.2</v>
      </c>
      <c r="AO301" s="55">
        <f t="shared" si="76"/>
        <v>43.400000000000006</v>
      </c>
      <c r="AP301" s="55">
        <f t="shared" si="76"/>
        <v>49.60000000000001</v>
      </c>
      <c r="AQ301" s="55">
        <f t="shared" si="76"/>
        <v>55.80000000000001</v>
      </c>
      <c r="AR301" s="55">
        <f t="shared" si="76"/>
        <v>62.000000000000014</v>
      </c>
      <c r="AS301" s="55">
        <f t="shared" si="76"/>
        <v>68.20000000000002</v>
      </c>
      <c r="AT301" s="55">
        <f t="shared" si="76"/>
        <v>74.40000000000002</v>
      </c>
      <c r="AU301" s="55">
        <f t="shared" si="76"/>
        <v>80.60000000000002</v>
      </c>
      <c r="AV301" s="55">
        <f t="shared" si="76"/>
        <v>86.80000000000003</v>
      </c>
      <c r="AW301" s="55">
        <f t="shared" si="76"/>
        <v>93.00000000000003</v>
      </c>
      <c r="AX301" s="55">
        <f t="shared" si="76"/>
        <v>99.20000000000003</v>
      </c>
      <c r="AY301" s="55">
        <f t="shared" si="76"/>
        <v>105.40000000000003</v>
      </c>
      <c r="AZ301" s="55">
        <f t="shared" si="76"/>
        <v>111.60000000000004</v>
      </c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2"/>
      <c r="BP301" s="2"/>
      <c r="BQ301" s="2"/>
      <c r="BR301" s="2"/>
    </row>
    <row r="302" spans="1:70" s="12" customFormat="1" ht="15.75" customHeight="1" outlineLevel="2">
      <c r="A302" s="139">
        <v>8</v>
      </c>
      <c r="B302" s="36" t="s">
        <v>370</v>
      </c>
      <c r="C302" s="65" t="s">
        <v>405</v>
      </c>
      <c r="D302" s="139" t="s">
        <v>97</v>
      </c>
      <c r="E302" s="37" t="s">
        <v>16</v>
      </c>
      <c r="F302" s="35" t="s">
        <v>16</v>
      </c>
      <c r="G302" s="36" t="s">
        <v>28</v>
      </c>
      <c r="H302" s="39">
        <v>0.195</v>
      </c>
      <c r="I302" s="49">
        <v>1</v>
      </c>
      <c r="J302" s="55">
        <v>20</v>
      </c>
      <c r="K302" s="55">
        <f t="shared" si="46"/>
        <v>3.9000000000000004</v>
      </c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174">
        <f aca="true" t="shared" si="77" ref="AI302:AZ302">(AH302+0.39)</f>
        <v>0.39</v>
      </c>
      <c r="AJ302" s="55">
        <f t="shared" si="77"/>
        <v>0.78</v>
      </c>
      <c r="AK302" s="55">
        <f t="shared" si="77"/>
        <v>1.17</v>
      </c>
      <c r="AL302" s="55">
        <f t="shared" si="77"/>
        <v>1.56</v>
      </c>
      <c r="AM302" s="55">
        <f t="shared" si="77"/>
        <v>1.9500000000000002</v>
      </c>
      <c r="AN302" s="55">
        <f t="shared" si="77"/>
        <v>2.3400000000000003</v>
      </c>
      <c r="AO302" s="55">
        <f t="shared" si="77"/>
        <v>2.7300000000000004</v>
      </c>
      <c r="AP302" s="55">
        <f t="shared" si="77"/>
        <v>3.1200000000000006</v>
      </c>
      <c r="AQ302" s="55">
        <f t="shared" si="77"/>
        <v>3.5100000000000007</v>
      </c>
      <c r="AR302" s="55">
        <f t="shared" si="77"/>
        <v>3.900000000000001</v>
      </c>
      <c r="AS302" s="55">
        <f t="shared" si="77"/>
        <v>4.290000000000001</v>
      </c>
      <c r="AT302" s="55">
        <f t="shared" si="77"/>
        <v>4.680000000000001</v>
      </c>
      <c r="AU302" s="55">
        <f t="shared" si="77"/>
        <v>5.07</v>
      </c>
      <c r="AV302" s="55">
        <f t="shared" si="77"/>
        <v>5.46</v>
      </c>
      <c r="AW302" s="55">
        <f t="shared" si="77"/>
        <v>5.85</v>
      </c>
      <c r="AX302" s="55">
        <f t="shared" si="77"/>
        <v>6.239999999999999</v>
      </c>
      <c r="AY302" s="55">
        <f t="shared" si="77"/>
        <v>6.629999999999999</v>
      </c>
      <c r="AZ302" s="55">
        <f t="shared" si="77"/>
        <v>7.019999999999999</v>
      </c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1:70" s="12" customFormat="1" ht="15.75" customHeight="1" outlineLevel="2">
      <c r="A303" s="139">
        <v>9</v>
      </c>
      <c r="B303" s="36" t="s">
        <v>370</v>
      </c>
      <c r="C303" s="65" t="s">
        <v>414</v>
      </c>
      <c r="D303" s="139" t="s">
        <v>97</v>
      </c>
      <c r="E303" s="37" t="s">
        <v>40</v>
      </c>
      <c r="F303" s="35" t="s">
        <v>40</v>
      </c>
      <c r="G303" s="36" t="s">
        <v>28</v>
      </c>
      <c r="H303" s="39">
        <v>0.136</v>
      </c>
      <c r="I303" s="132">
        <v>0.7</v>
      </c>
      <c r="J303" s="55">
        <v>20</v>
      </c>
      <c r="K303" s="55">
        <f t="shared" si="46"/>
        <v>1.9040000000000001</v>
      </c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174">
        <f aca="true" t="shared" si="78" ref="AI303:BF303">(AH303+0.19)</f>
        <v>0.19</v>
      </c>
      <c r="AJ303" s="55">
        <f t="shared" si="78"/>
        <v>0.38</v>
      </c>
      <c r="AK303" s="55">
        <f t="shared" si="78"/>
        <v>0.5700000000000001</v>
      </c>
      <c r="AL303" s="55">
        <f t="shared" si="78"/>
        <v>0.76</v>
      </c>
      <c r="AM303" s="55">
        <f t="shared" si="78"/>
        <v>0.95</v>
      </c>
      <c r="AN303" s="55">
        <f t="shared" si="78"/>
        <v>1.14</v>
      </c>
      <c r="AO303" s="55">
        <f t="shared" si="78"/>
        <v>1.3299999999999998</v>
      </c>
      <c r="AP303" s="55">
        <f t="shared" si="78"/>
        <v>1.5199999999999998</v>
      </c>
      <c r="AQ303" s="55">
        <f t="shared" si="78"/>
        <v>1.7099999999999997</v>
      </c>
      <c r="AR303" s="55">
        <f t="shared" si="78"/>
        <v>1.8999999999999997</v>
      </c>
      <c r="AS303" s="55">
        <f t="shared" si="78"/>
        <v>2.09</v>
      </c>
      <c r="AT303" s="55">
        <f t="shared" si="78"/>
        <v>2.28</v>
      </c>
      <c r="AU303" s="55">
        <f t="shared" si="78"/>
        <v>2.4699999999999998</v>
      </c>
      <c r="AV303" s="55">
        <f t="shared" si="78"/>
        <v>2.6599999999999997</v>
      </c>
      <c r="AW303" s="55">
        <f t="shared" si="78"/>
        <v>2.8499999999999996</v>
      </c>
      <c r="AX303" s="55">
        <f t="shared" si="78"/>
        <v>3.0399999999999996</v>
      </c>
      <c r="AY303" s="55">
        <f t="shared" si="78"/>
        <v>3.2299999999999995</v>
      </c>
      <c r="AZ303" s="55">
        <f t="shared" si="78"/>
        <v>3.4199999999999995</v>
      </c>
      <c r="BA303" s="55">
        <f t="shared" si="78"/>
        <v>3.6099999999999994</v>
      </c>
      <c r="BB303" s="55">
        <f t="shared" si="78"/>
        <v>3.7999999999999994</v>
      </c>
      <c r="BC303" s="55">
        <f t="shared" si="78"/>
        <v>3.9899999999999993</v>
      </c>
      <c r="BD303" s="55">
        <f t="shared" si="78"/>
        <v>4.18</v>
      </c>
      <c r="BE303" s="55">
        <f t="shared" si="78"/>
        <v>4.37</v>
      </c>
      <c r="BF303" s="55">
        <f t="shared" si="78"/>
        <v>4.5600000000000005</v>
      </c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1:73" s="12" customFormat="1" ht="15.75" customHeight="1" outlineLevel="2">
      <c r="A304" s="139">
        <v>10</v>
      </c>
      <c r="B304" s="36" t="s">
        <v>370</v>
      </c>
      <c r="C304" s="27" t="s">
        <v>525</v>
      </c>
      <c r="D304" s="27" t="s">
        <v>98</v>
      </c>
      <c r="E304" s="37"/>
      <c r="F304" s="142" t="s">
        <v>40</v>
      </c>
      <c r="G304" s="36" t="s">
        <v>14</v>
      </c>
      <c r="H304" s="76">
        <v>3</v>
      </c>
      <c r="I304" s="132">
        <v>0.7</v>
      </c>
      <c r="J304" s="55">
        <v>20</v>
      </c>
      <c r="K304" s="55">
        <f t="shared" si="46"/>
        <v>41.99999999999999</v>
      </c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174">
        <f aca="true" t="shared" si="79" ref="AI304:BU304">(AH304+4.2)</f>
        <v>4.2</v>
      </c>
      <c r="AJ304" s="55">
        <f t="shared" si="79"/>
        <v>8.4</v>
      </c>
      <c r="AK304" s="55">
        <f t="shared" si="79"/>
        <v>12.600000000000001</v>
      </c>
      <c r="AL304" s="55">
        <f t="shared" si="79"/>
        <v>16.8</v>
      </c>
      <c r="AM304" s="55">
        <f t="shared" si="79"/>
        <v>21</v>
      </c>
      <c r="AN304" s="55">
        <f t="shared" si="79"/>
        <v>25.2</v>
      </c>
      <c r="AO304" s="55">
        <f t="shared" si="79"/>
        <v>29.4</v>
      </c>
      <c r="AP304" s="55">
        <f t="shared" si="79"/>
        <v>33.6</v>
      </c>
      <c r="AQ304" s="55">
        <f t="shared" si="79"/>
        <v>37.800000000000004</v>
      </c>
      <c r="AR304" s="55">
        <f t="shared" si="79"/>
        <v>42.00000000000001</v>
      </c>
      <c r="AS304" s="55">
        <f t="shared" si="79"/>
        <v>46.20000000000001</v>
      </c>
      <c r="AT304" s="55">
        <f t="shared" si="79"/>
        <v>50.40000000000001</v>
      </c>
      <c r="AU304" s="55">
        <f t="shared" si="79"/>
        <v>54.600000000000016</v>
      </c>
      <c r="AV304" s="55">
        <f t="shared" si="79"/>
        <v>58.80000000000002</v>
      </c>
      <c r="AW304" s="55">
        <f t="shared" si="79"/>
        <v>63.00000000000002</v>
      </c>
      <c r="AX304" s="55">
        <f t="shared" si="79"/>
        <v>67.20000000000002</v>
      </c>
      <c r="AY304" s="55">
        <f t="shared" si="79"/>
        <v>71.40000000000002</v>
      </c>
      <c r="AZ304" s="55">
        <f t="shared" si="79"/>
        <v>75.60000000000002</v>
      </c>
      <c r="BA304" s="55">
        <f t="shared" si="79"/>
        <v>79.80000000000003</v>
      </c>
      <c r="BB304" s="55">
        <f t="shared" si="79"/>
        <v>84.00000000000003</v>
      </c>
      <c r="BC304" s="55">
        <f t="shared" si="79"/>
        <v>88.20000000000003</v>
      </c>
      <c r="BD304" s="55">
        <f t="shared" si="79"/>
        <v>92.40000000000003</v>
      </c>
      <c r="BE304" s="55">
        <f t="shared" si="79"/>
        <v>96.60000000000004</v>
      </c>
      <c r="BF304" s="55">
        <f t="shared" si="79"/>
        <v>100.80000000000004</v>
      </c>
      <c r="BG304" s="55">
        <f t="shared" si="79"/>
        <v>105.00000000000004</v>
      </c>
      <c r="BH304" s="55">
        <f t="shared" si="79"/>
        <v>109.20000000000005</v>
      </c>
      <c r="BI304" s="55">
        <f t="shared" si="79"/>
        <v>113.40000000000005</v>
      </c>
      <c r="BJ304" s="55">
        <f t="shared" si="79"/>
        <v>117.60000000000005</v>
      </c>
      <c r="BK304" s="55">
        <f t="shared" si="79"/>
        <v>121.80000000000005</v>
      </c>
      <c r="BL304" s="55">
        <f t="shared" si="79"/>
        <v>126.00000000000006</v>
      </c>
      <c r="BM304" s="55">
        <f t="shared" si="79"/>
        <v>130.20000000000005</v>
      </c>
      <c r="BN304" s="55">
        <f t="shared" si="79"/>
        <v>134.40000000000003</v>
      </c>
      <c r="BO304" s="55">
        <f t="shared" si="79"/>
        <v>138.60000000000002</v>
      </c>
      <c r="BP304" s="55">
        <f t="shared" si="79"/>
        <v>142.8</v>
      </c>
      <c r="BQ304" s="55">
        <f t="shared" si="79"/>
        <v>147</v>
      </c>
      <c r="BR304" s="55">
        <f t="shared" si="79"/>
        <v>151.2</v>
      </c>
      <c r="BS304" s="55">
        <f t="shared" si="79"/>
        <v>155.39999999999998</v>
      </c>
      <c r="BT304" s="55">
        <f t="shared" si="79"/>
        <v>159.59999999999997</v>
      </c>
      <c r="BU304" s="55">
        <f t="shared" si="79"/>
        <v>163.79999999999995</v>
      </c>
    </row>
    <row r="305" spans="1:73" s="12" customFormat="1" ht="15.75" customHeight="1" outlineLevel="2">
      <c r="A305" s="139">
        <v>11</v>
      </c>
      <c r="B305" s="36" t="s">
        <v>370</v>
      </c>
      <c r="C305" s="65" t="s">
        <v>404</v>
      </c>
      <c r="D305" s="139" t="s">
        <v>97</v>
      </c>
      <c r="E305" s="37" t="s">
        <v>40</v>
      </c>
      <c r="F305" s="35" t="s">
        <v>40</v>
      </c>
      <c r="G305" s="36" t="s">
        <v>91</v>
      </c>
      <c r="H305" s="39">
        <v>0.067</v>
      </c>
      <c r="I305" s="132">
        <v>0.7</v>
      </c>
      <c r="J305" s="55">
        <v>20</v>
      </c>
      <c r="K305" s="55">
        <f t="shared" si="46"/>
        <v>0.938</v>
      </c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174">
        <f aca="true" t="shared" si="80" ref="AI305:BU305">(AH305+0.09)</f>
        <v>0.09</v>
      </c>
      <c r="AJ305" s="55">
        <f t="shared" si="80"/>
        <v>0.18</v>
      </c>
      <c r="AK305" s="55">
        <f t="shared" si="80"/>
        <v>0.27</v>
      </c>
      <c r="AL305" s="55">
        <f t="shared" si="80"/>
        <v>0.36</v>
      </c>
      <c r="AM305" s="55">
        <f t="shared" si="80"/>
        <v>0.44999999999999996</v>
      </c>
      <c r="AN305" s="55">
        <f t="shared" si="80"/>
        <v>0.5399999999999999</v>
      </c>
      <c r="AO305" s="55">
        <f t="shared" si="80"/>
        <v>0.6299999999999999</v>
      </c>
      <c r="AP305" s="55">
        <f t="shared" si="80"/>
        <v>0.7199999999999999</v>
      </c>
      <c r="AQ305" s="55">
        <f t="shared" si="80"/>
        <v>0.8099999999999998</v>
      </c>
      <c r="AR305" s="55">
        <f t="shared" si="80"/>
        <v>0.8999999999999998</v>
      </c>
      <c r="AS305" s="55">
        <f t="shared" si="80"/>
        <v>0.9899999999999998</v>
      </c>
      <c r="AT305" s="55">
        <f t="shared" si="80"/>
        <v>1.0799999999999998</v>
      </c>
      <c r="AU305" s="55">
        <f t="shared" si="80"/>
        <v>1.17</v>
      </c>
      <c r="AV305" s="55">
        <f t="shared" si="80"/>
        <v>1.26</v>
      </c>
      <c r="AW305" s="55">
        <f t="shared" si="80"/>
        <v>1.35</v>
      </c>
      <c r="AX305" s="55">
        <f t="shared" si="80"/>
        <v>1.4400000000000002</v>
      </c>
      <c r="AY305" s="55">
        <f t="shared" si="80"/>
        <v>1.5300000000000002</v>
      </c>
      <c r="AZ305" s="55">
        <f t="shared" si="80"/>
        <v>1.6200000000000003</v>
      </c>
      <c r="BA305" s="55">
        <f t="shared" si="80"/>
        <v>1.7100000000000004</v>
      </c>
      <c r="BB305" s="55">
        <f t="shared" si="80"/>
        <v>1.8000000000000005</v>
      </c>
      <c r="BC305" s="55">
        <f t="shared" si="80"/>
        <v>1.8900000000000006</v>
      </c>
      <c r="BD305" s="55">
        <f t="shared" si="80"/>
        <v>1.9800000000000006</v>
      </c>
      <c r="BE305" s="55">
        <f t="shared" si="80"/>
        <v>2.0700000000000007</v>
      </c>
      <c r="BF305" s="55">
        <f t="shared" si="80"/>
        <v>2.1600000000000006</v>
      </c>
      <c r="BG305" s="55">
        <f t="shared" si="80"/>
        <v>2.2500000000000004</v>
      </c>
      <c r="BH305" s="55">
        <f t="shared" si="80"/>
        <v>2.3400000000000003</v>
      </c>
      <c r="BI305" s="55">
        <f t="shared" si="80"/>
        <v>2.43</v>
      </c>
      <c r="BJ305" s="55">
        <f t="shared" si="80"/>
        <v>2.52</v>
      </c>
      <c r="BK305" s="55">
        <f t="shared" si="80"/>
        <v>2.61</v>
      </c>
      <c r="BL305" s="55">
        <f t="shared" si="80"/>
        <v>2.6999999999999997</v>
      </c>
      <c r="BM305" s="55">
        <f t="shared" si="80"/>
        <v>2.7899999999999996</v>
      </c>
      <c r="BN305" s="55">
        <f t="shared" si="80"/>
        <v>2.8799999999999994</v>
      </c>
      <c r="BO305" s="55">
        <f t="shared" si="80"/>
        <v>2.9699999999999993</v>
      </c>
      <c r="BP305" s="55">
        <f t="shared" si="80"/>
        <v>3.059999999999999</v>
      </c>
      <c r="BQ305" s="55">
        <f t="shared" si="80"/>
        <v>3.149999999999999</v>
      </c>
      <c r="BR305" s="55">
        <f t="shared" si="80"/>
        <v>3.239999999999999</v>
      </c>
      <c r="BS305" s="55">
        <f t="shared" si="80"/>
        <v>3.3299999999999987</v>
      </c>
      <c r="BT305" s="55">
        <f t="shared" si="80"/>
        <v>3.4199999999999986</v>
      </c>
      <c r="BU305" s="55">
        <f t="shared" si="80"/>
        <v>3.5099999999999985</v>
      </c>
    </row>
    <row r="306" spans="1:73" s="12" customFormat="1" ht="15.75" customHeight="1" outlineLevel="2">
      <c r="A306" s="139">
        <v>12</v>
      </c>
      <c r="B306" s="36" t="s">
        <v>370</v>
      </c>
      <c r="C306" s="65" t="s">
        <v>420</v>
      </c>
      <c r="D306" s="139" t="s">
        <v>10</v>
      </c>
      <c r="E306" s="37" t="s">
        <v>40</v>
      </c>
      <c r="F306" s="35" t="s">
        <v>40</v>
      </c>
      <c r="G306" s="36" t="s">
        <v>91</v>
      </c>
      <c r="H306" s="39">
        <v>0.831</v>
      </c>
      <c r="I306" s="132">
        <v>0.7</v>
      </c>
      <c r="J306" s="55">
        <v>20</v>
      </c>
      <c r="K306" s="55">
        <f t="shared" si="46"/>
        <v>11.633999999999997</v>
      </c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174">
        <f aca="true" t="shared" si="81" ref="AI306:BU306">(AH306+1.16)</f>
        <v>1.16</v>
      </c>
      <c r="AJ306" s="55">
        <f t="shared" si="81"/>
        <v>2.32</v>
      </c>
      <c r="AK306" s="55">
        <f t="shared" si="81"/>
        <v>3.4799999999999995</v>
      </c>
      <c r="AL306" s="55">
        <f t="shared" si="81"/>
        <v>4.64</v>
      </c>
      <c r="AM306" s="55">
        <f t="shared" si="81"/>
        <v>5.8</v>
      </c>
      <c r="AN306" s="55">
        <f t="shared" si="81"/>
        <v>6.96</v>
      </c>
      <c r="AO306" s="55">
        <f t="shared" si="81"/>
        <v>8.12</v>
      </c>
      <c r="AP306" s="55">
        <f t="shared" si="81"/>
        <v>9.28</v>
      </c>
      <c r="AQ306" s="55">
        <f t="shared" si="81"/>
        <v>10.44</v>
      </c>
      <c r="AR306" s="55">
        <f t="shared" si="81"/>
        <v>11.6</v>
      </c>
      <c r="AS306" s="55">
        <f t="shared" si="81"/>
        <v>12.76</v>
      </c>
      <c r="AT306" s="55">
        <f t="shared" si="81"/>
        <v>13.92</v>
      </c>
      <c r="AU306" s="55">
        <f t="shared" si="81"/>
        <v>15.08</v>
      </c>
      <c r="AV306" s="55">
        <f t="shared" si="81"/>
        <v>16.24</v>
      </c>
      <c r="AW306" s="55">
        <f t="shared" si="81"/>
        <v>17.4</v>
      </c>
      <c r="AX306" s="55">
        <f t="shared" si="81"/>
        <v>18.56</v>
      </c>
      <c r="AY306" s="55">
        <f t="shared" si="81"/>
        <v>19.72</v>
      </c>
      <c r="AZ306" s="55">
        <f t="shared" si="81"/>
        <v>20.88</v>
      </c>
      <c r="BA306" s="55">
        <f t="shared" si="81"/>
        <v>22.04</v>
      </c>
      <c r="BB306" s="55">
        <f t="shared" si="81"/>
        <v>23.2</v>
      </c>
      <c r="BC306" s="55">
        <f t="shared" si="81"/>
        <v>24.36</v>
      </c>
      <c r="BD306" s="55">
        <f t="shared" si="81"/>
        <v>25.52</v>
      </c>
      <c r="BE306" s="55">
        <f t="shared" si="81"/>
        <v>26.68</v>
      </c>
      <c r="BF306" s="55">
        <f t="shared" si="81"/>
        <v>27.84</v>
      </c>
      <c r="BG306" s="55">
        <f t="shared" si="81"/>
        <v>29</v>
      </c>
      <c r="BH306" s="55">
        <f t="shared" si="81"/>
        <v>30.16</v>
      </c>
      <c r="BI306" s="55">
        <f t="shared" si="81"/>
        <v>31.32</v>
      </c>
      <c r="BJ306" s="55">
        <f t="shared" si="81"/>
        <v>32.48</v>
      </c>
      <c r="BK306" s="55">
        <f t="shared" si="81"/>
        <v>33.63999999999999</v>
      </c>
      <c r="BL306" s="55">
        <f t="shared" si="81"/>
        <v>34.79999999999999</v>
      </c>
      <c r="BM306" s="55">
        <f t="shared" si="81"/>
        <v>35.95999999999999</v>
      </c>
      <c r="BN306" s="55">
        <f t="shared" si="81"/>
        <v>37.11999999999998</v>
      </c>
      <c r="BO306" s="55">
        <f t="shared" si="81"/>
        <v>38.27999999999998</v>
      </c>
      <c r="BP306" s="55">
        <f t="shared" si="81"/>
        <v>39.439999999999976</v>
      </c>
      <c r="BQ306" s="55">
        <f t="shared" si="81"/>
        <v>40.59999999999997</v>
      </c>
      <c r="BR306" s="55">
        <f t="shared" si="81"/>
        <v>41.75999999999997</v>
      </c>
      <c r="BS306" s="55">
        <f t="shared" si="81"/>
        <v>42.919999999999966</v>
      </c>
      <c r="BT306" s="55">
        <f t="shared" si="81"/>
        <v>44.07999999999996</v>
      </c>
      <c r="BU306" s="55">
        <f t="shared" si="81"/>
        <v>45.23999999999996</v>
      </c>
    </row>
    <row r="307" spans="1:73" s="12" customFormat="1" ht="15.75" customHeight="1" outlineLevel="2">
      <c r="A307" s="139">
        <v>13</v>
      </c>
      <c r="B307" s="36" t="s">
        <v>370</v>
      </c>
      <c r="C307" s="65" t="s">
        <v>417</v>
      </c>
      <c r="D307" s="139" t="s">
        <v>10</v>
      </c>
      <c r="E307" s="144" t="s">
        <v>23</v>
      </c>
      <c r="F307" s="141" t="s">
        <v>40</v>
      </c>
      <c r="G307" s="47" t="s">
        <v>28</v>
      </c>
      <c r="H307" s="80">
        <v>6.701</v>
      </c>
      <c r="I307" s="132">
        <v>0.7</v>
      </c>
      <c r="J307" s="55">
        <v>20</v>
      </c>
      <c r="K307" s="55">
        <f t="shared" si="46"/>
        <v>93.814</v>
      </c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174">
        <f aca="true" t="shared" si="82" ref="AI307:BU307">(AH307+9.38)</f>
        <v>9.38</v>
      </c>
      <c r="AJ307" s="55">
        <f t="shared" si="82"/>
        <v>18.76</v>
      </c>
      <c r="AK307" s="55">
        <f t="shared" si="82"/>
        <v>28.14</v>
      </c>
      <c r="AL307" s="55">
        <f t="shared" si="82"/>
        <v>37.52</v>
      </c>
      <c r="AM307" s="55">
        <f t="shared" si="82"/>
        <v>46.900000000000006</v>
      </c>
      <c r="AN307" s="55">
        <f t="shared" si="82"/>
        <v>56.28000000000001</v>
      </c>
      <c r="AO307" s="55">
        <f t="shared" si="82"/>
        <v>65.66000000000001</v>
      </c>
      <c r="AP307" s="55">
        <f t="shared" si="82"/>
        <v>75.04</v>
      </c>
      <c r="AQ307" s="55">
        <f t="shared" si="82"/>
        <v>84.42</v>
      </c>
      <c r="AR307" s="55">
        <f t="shared" si="82"/>
        <v>93.8</v>
      </c>
      <c r="AS307" s="55">
        <f t="shared" si="82"/>
        <v>103.17999999999999</v>
      </c>
      <c r="AT307" s="55">
        <f t="shared" si="82"/>
        <v>112.55999999999999</v>
      </c>
      <c r="AU307" s="55">
        <f t="shared" si="82"/>
        <v>121.93999999999998</v>
      </c>
      <c r="AV307" s="55">
        <f t="shared" si="82"/>
        <v>131.32</v>
      </c>
      <c r="AW307" s="55">
        <f t="shared" si="82"/>
        <v>140.7</v>
      </c>
      <c r="AX307" s="55">
        <f t="shared" si="82"/>
        <v>150.07999999999998</v>
      </c>
      <c r="AY307" s="55">
        <f t="shared" si="82"/>
        <v>159.45999999999998</v>
      </c>
      <c r="AZ307" s="55">
        <f t="shared" si="82"/>
        <v>168.83999999999997</v>
      </c>
      <c r="BA307" s="55">
        <f t="shared" si="82"/>
        <v>178.21999999999997</v>
      </c>
      <c r="BB307" s="55">
        <f t="shared" si="82"/>
        <v>187.59999999999997</v>
      </c>
      <c r="BC307" s="55">
        <f t="shared" si="82"/>
        <v>196.97999999999996</v>
      </c>
      <c r="BD307" s="55">
        <f t="shared" si="82"/>
        <v>206.35999999999996</v>
      </c>
      <c r="BE307" s="55">
        <f t="shared" si="82"/>
        <v>215.73999999999995</v>
      </c>
      <c r="BF307" s="55">
        <f t="shared" si="82"/>
        <v>225.11999999999995</v>
      </c>
      <c r="BG307" s="55">
        <f t="shared" si="82"/>
        <v>234.49999999999994</v>
      </c>
      <c r="BH307" s="55">
        <f t="shared" si="82"/>
        <v>243.87999999999994</v>
      </c>
      <c r="BI307" s="55">
        <f t="shared" si="82"/>
        <v>253.25999999999993</v>
      </c>
      <c r="BJ307" s="55">
        <f t="shared" si="82"/>
        <v>262.63999999999993</v>
      </c>
      <c r="BK307" s="55">
        <f t="shared" si="82"/>
        <v>272.0199999999999</v>
      </c>
      <c r="BL307" s="55">
        <f t="shared" si="82"/>
        <v>281.3999999999999</v>
      </c>
      <c r="BM307" s="55">
        <f t="shared" si="82"/>
        <v>290.7799999999999</v>
      </c>
      <c r="BN307" s="55">
        <f t="shared" si="82"/>
        <v>300.1599999999999</v>
      </c>
      <c r="BO307" s="55">
        <f t="shared" si="82"/>
        <v>309.5399999999999</v>
      </c>
      <c r="BP307" s="55">
        <f t="shared" si="82"/>
        <v>318.9199999999999</v>
      </c>
      <c r="BQ307" s="55">
        <f t="shared" si="82"/>
        <v>328.2999999999999</v>
      </c>
      <c r="BR307" s="55">
        <f t="shared" si="82"/>
        <v>337.6799999999999</v>
      </c>
      <c r="BS307" s="55">
        <f t="shared" si="82"/>
        <v>347.0599999999999</v>
      </c>
      <c r="BT307" s="55">
        <f t="shared" si="82"/>
        <v>356.4399999999999</v>
      </c>
      <c r="BU307" s="55">
        <f t="shared" si="82"/>
        <v>365.8199999999999</v>
      </c>
    </row>
    <row r="308" spans="1:73" s="12" customFormat="1" ht="15.75" customHeight="1" outlineLevel="2">
      <c r="A308" s="139">
        <v>14</v>
      </c>
      <c r="B308" s="36" t="s">
        <v>370</v>
      </c>
      <c r="C308" s="65" t="s">
        <v>418</v>
      </c>
      <c r="D308" s="139" t="s">
        <v>10</v>
      </c>
      <c r="E308" s="144" t="s">
        <v>23</v>
      </c>
      <c r="F308" s="141" t="s">
        <v>40</v>
      </c>
      <c r="G308" s="44" t="s">
        <v>28</v>
      </c>
      <c r="H308" s="77">
        <v>2.01</v>
      </c>
      <c r="I308" s="132">
        <v>0.7</v>
      </c>
      <c r="J308" s="55">
        <v>20</v>
      </c>
      <c r="K308" s="55">
        <f t="shared" si="46"/>
        <v>28.139999999999997</v>
      </c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174">
        <f aca="true" t="shared" si="83" ref="AI308:BU308">(AH308+2.81)</f>
        <v>2.81</v>
      </c>
      <c r="AJ308" s="55">
        <f t="shared" si="83"/>
        <v>5.62</v>
      </c>
      <c r="AK308" s="55">
        <f t="shared" si="83"/>
        <v>8.43</v>
      </c>
      <c r="AL308" s="55">
        <f t="shared" si="83"/>
        <v>11.24</v>
      </c>
      <c r="AM308" s="55">
        <f t="shared" si="83"/>
        <v>14.05</v>
      </c>
      <c r="AN308" s="55">
        <f t="shared" si="83"/>
        <v>16.86</v>
      </c>
      <c r="AO308" s="55">
        <f t="shared" si="83"/>
        <v>19.669999999999998</v>
      </c>
      <c r="AP308" s="55">
        <f t="shared" si="83"/>
        <v>22.479999999999997</v>
      </c>
      <c r="AQ308" s="55">
        <f t="shared" si="83"/>
        <v>25.289999999999996</v>
      </c>
      <c r="AR308" s="55">
        <f t="shared" si="83"/>
        <v>28.099999999999994</v>
      </c>
      <c r="AS308" s="55">
        <f t="shared" si="83"/>
        <v>30.909999999999993</v>
      </c>
      <c r="AT308" s="55">
        <f t="shared" si="83"/>
        <v>33.71999999999999</v>
      </c>
      <c r="AU308" s="55">
        <f t="shared" si="83"/>
        <v>36.529999999999994</v>
      </c>
      <c r="AV308" s="55">
        <f t="shared" si="83"/>
        <v>39.339999999999996</v>
      </c>
      <c r="AW308" s="55">
        <f t="shared" si="83"/>
        <v>42.15</v>
      </c>
      <c r="AX308" s="55">
        <f t="shared" si="83"/>
        <v>44.96</v>
      </c>
      <c r="AY308" s="55">
        <f t="shared" si="83"/>
        <v>47.77</v>
      </c>
      <c r="AZ308" s="55">
        <f t="shared" si="83"/>
        <v>50.580000000000005</v>
      </c>
      <c r="BA308" s="55">
        <f t="shared" si="83"/>
        <v>53.39000000000001</v>
      </c>
      <c r="BB308" s="55">
        <f t="shared" si="83"/>
        <v>56.20000000000001</v>
      </c>
      <c r="BC308" s="55">
        <f t="shared" si="83"/>
        <v>59.01000000000001</v>
      </c>
      <c r="BD308" s="55">
        <f t="shared" si="83"/>
        <v>61.820000000000014</v>
      </c>
      <c r="BE308" s="55">
        <f t="shared" si="83"/>
        <v>64.63000000000001</v>
      </c>
      <c r="BF308" s="55">
        <f t="shared" si="83"/>
        <v>67.44000000000001</v>
      </c>
      <c r="BG308" s="55">
        <f t="shared" si="83"/>
        <v>70.25000000000001</v>
      </c>
      <c r="BH308" s="55">
        <f t="shared" si="83"/>
        <v>73.06000000000002</v>
      </c>
      <c r="BI308" s="55">
        <f t="shared" si="83"/>
        <v>75.87000000000002</v>
      </c>
      <c r="BJ308" s="55">
        <f t="shared" si="83"/>
        <v>78.68000000000002</v>
      </c>
      <c r="BK308" s="55">
        <f t="shared" si="83"/>
        <v>81.49000000000002</v>
      </c>
      <c r="BL308" s="55">
        <f t="shared" si="83"/>
        <v>84.30000000000003</v>
      </c>
      <c r="BM308" s="55">
        <f t="shared" si="83"/>
        <v>87.11000000000003</v>
      </c>
      <c r="BN308" s="55">
        <f t="shared" si="83"/>
        <v>89.92000000000003</v>
      </c>
      <c r="BO308" s="55">
        <f t="shared" si="83"/>
        <v>92.73000000000003</v>
      </c>
      <c r="BP308" s="55">
        <f t="shared" si="83"/>
        <v>95.54000000000003</v>
      </c>
      <c r="BQ308" s="55">
        <f t="shared" si="83"/>
        <v>98.35000000000004</v>
      </c>
      <c r="BR308" s="55">
        <f t="shared" si="83"/>
        <v>101.16000000000004</v>
      </c>
      <c r="BS308" s="55">
        <f t="shared" si="83"/>
        <v>103.97000000000004</v>
      </c>
      <c r="BT308" s="55">
        <f t="shared" si="83"/>
        <v>106.78000000000004</v>
      </c>
      <c r="BU308" s="55">
        <f t="shared" si="83"/>
        <v>109.59000000000005</v>
      </c>
    </row>
    <row r="309" spans="1:70" s="12" customFormat="1" ht="15.75" customHeight="1" outlineLevel="2">
      <c r="A309" s="139">
        <v>15</v>
      </c>
      <c r="B309" s="36" t="s">
        <v>370</v>
      </c>
      <c r="C309" s="65" t="s">
        <v>419</v>
      </c>
      <c r="D309" s="139" t="s">
        <v>99</v>
      </c>
      <c r="E309" s="144" t="s">
        <v>23</v>
      </c>
      <c r="F309" s="141" t="s">
        <v>40</v>
      </c>
      <c r="G309" s="36" t="s">
        <v>91</v>
      </c>
      <c r="H309" s="139">
        <v>13.046</v>
      </c>
      <c r="I309" s="45">
        <v>1.2</v>
      </c>
      <c r="J309" s="55">
        <v>20</v>
      </c>
      <c r="K309" s="55">
        <f t="shared" si="46"/>
        <v>313.104</v>
      </c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174">
        <f aca="true" t="shared" si="84" ref="AI309:AR309">(AH309+31.31)</f>
        <v>31.31</v>
      </c>
      <c r="AJ309" s="55">
        <f t="shared" si="84"/>
        <v>62.62</v>
      </c>
      <c r="AK309" s="55">
        <f t="shared" si="84"/>
        <v>93.92999999999999</v>
      </c>
      <c r="AL309" s="55">
        <f t="shared" si="84"/>
        <v>125.24</v>
      </c>
      <c r="AM309" s="55">
        <f t="shared" si="84"/>
        <v>156.54999999999998</v>
      </c>
      <c r="AN309" s="55">
        <f t="shared" si="84"/>
        <v>187.85999999999999</v>
      </c>
      <c r="AO309" s="55">
        <f t="shared" si="84"/>
        <v>219.17</v>
      </c>
      <c r="AP309" s="55">
        <f t="shared" si="84"/>
        <v>250.48</v>
      </c>
      <c r="AQ309" s="55">
        <f t="shared" si="84"/>
        <v>281.78999999999996</v>
      </c>
      <c r="AR309" s="55">
        <f t="shared" si="84"/>
        <v>313.09999999999997</v>
      </c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1:70" s="12" customFormat="1" ht="15.75" customHeight="1" outlineLevel="2">
      <c r="A310" s="139">
        <v>16</v>
      </c>
      <c r="B310" s="36" t="s">
        <v>370</v>
      </c>
      <c r="C310" s="65" t="s">
        <v>410</v>
      </c>
      <c r="D310" s="139" t="s">
        <v>97</v>
      </c>
      <c r="E310" s="37" t="s">
        <v>40</v>
      </c>
      <c r="F310" s="141" t="s">
        <v>40</v>
      </c>
      <c r="G310" s="36" t="s">
        <v>91</v>
      </c>
      <c r="H310" s="39">
        <v>0.125</v>
      </c>
      <c r="I310" s="132">
        <v>0.7</v>
      </c>
      <c r="J310" s="55">
        <v>20</v>
      </c>
      <c r="K310" s="55">
        <f t="shared" si="46"/>
        <v>1.75</v>
      </c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174">
        <f aca="true" t="shared" si="85" ref="AI310:BJ310">(AH310+0.18)</f>
        <v>0.18</v>
      </c>
      <c r="AJ310" s="55">
        <f t="shared" si="85"/>
        <v>0.36</v>
      </c>
      <c r="AK310" s="55">
        <f t="shared" si="85"/>
        <v>0.54</v>
      </c>
      <c r="AL310" s="55">
        <f t="shared" si="85"/>
        <v>0.72</v>
      </c>
      <c r="AM310" s="55">
        <f t="shared" si="85"/>
        <v>0.8999999999999999</v>
      </c>
      <c r="AN310" s="55">
        <f t="shared" si="85"/>
        <v>1.0799999999999998</v>
      </c>
      <c r="AO310" s="55">
        <f t="shared" si="85"/>
        <v>1.2599999999999998</v>
      </c>
      <c r="AP310" s="55">
        <f t="shared" si="85"/>
        <v>1.4399999999999997</v>
      </c>
      <c r="AQ310" s="55">
        <f t="shared" si="85"/>
        <v>1.6199999999999997</v>
      </c>
      <c r="AR310" s="55">
        <f t="shared" si="85"/>
        <v>1.7999999999999996</v>
      </c>
      <c r="AS310" s="55">
        <f t="shared" si="85"/>
        <v>1.9799999999999995</v>
      </c>
      <c r="AT310" s="55">
        <f t="shared" si="85"/>
        <v>2.1599999999999997</v>
      </c>
      <c r="AU310" s="55">
        <f t="shared" si="85"/>
        <v>2.34</v>
      </c>
      <c r="AV310" s="55">
        <f t="shared" si="85"/>
        <v>2.52</v>
      </c>
      <c r="AW310" s="55">
        <f t="shared" si="85"/>
        <v>2.7</v>
      </c>
      <c r="AX310" s="55">
        <f t="shared" si="85"/>
        <v>2.8800000000000003</v>
      </c>
      <c r="AY310" s="55">
        <f t="shared" si="85"/>
        <v>3.0600000000000005</v>
      </c>
      <c r="AZ310" s="55">
        <f t="shared" si="85"/>
        <v>3.2400000000000007</v>
      </c>
      <c r="BA310" s="55">
        <f t="shared" si="85"/>
        <v>3.420000000000001</v>
      </c>
      <c r="BB310" s="55">
        <f t="shared" si="85"/>
        <v>3.600000000000001</v>
      </c>
      <c r="BC310" s="55">
        <f t="shared" si="85"/>
        <v>3.780000000000001</v>
      </c>
      <c r="BD310" s="55">
        <f t="shared" si="85"/>
        <v>3.9600000000000013</v>
      </c>
      <c r="BE310" s="55">
        <f t="shared" si="85"/>
        <v>4.1400000000000015</v>
      </c>
      <c r="BF310" s="55">
        <f t="shared" si="85"/>
        <v>4.320000000000001</v>
      </c>
      <c r="BG310" s="55">
        <f t="shared" si="85"/>
        <v>4.500000000000001</v>
      </c>
      <c r="BH310" s="55">
        <f t="shared" si="85"/>
        <v>4.680000000000001</v>
      </c>
      <c r="BI310" s="55">
        <f t="shared" si="85"/>
        <v>4.86</v>
      </c>
      <c r="BJ310" s="55">
        <f t="shared" si="85"/>
        <v>5.04</v>
      </c>
      <c r="BK310" s="2"/>
      <c r="BL310" s="2"/>
      <c r="BM310" s="2"/>
      <c r="BN310" s="2"/>
      <c r="BO310" s="2"/>
      <c r="BP310" s="2"/>
      <c r="BQ310" s="2"/>
      <c r="BR310" s="2"/>
    </row>
    <row r="311" spans="1:70" s="12" customFormat="1" ht="15.75" customHeight="1" outlineLevel="2">
      <c r="A311" s="139">
        <v>17</v>
      </c>
      <c r="B311" s="36" t="s">
        <v>370</v>
      </c>
      <c r="C311" s="65" t="s">
        <v>411</v>
      </c>
      <c r="D311" s="139" t="s">
        <v>97</v>
      </c>
      <c r="E311" s="37" t="s">
        <v>40</v>
      </c>
      <c r="F311" s="141" t="s">
        <v>40</v>
      </c>
      <c r="G311" s="36" t="s">
        <v>91</v>
      </c>
      <c r="H311" s="39">
        <v>0.084</v>
      </c>
      <c r="I311" s="132">
        <v>0.7</v>
      </c>
      <c r="J311" s="55">
        <v>20</v>
      </c>
      <c r="K311" s="55">
        <f t="shared" si="46"/>
        <v>1.176</v>
      </c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174">
        <f aca="true" t="shared" si="86" ref="AI311:BR311">(AH311+0.12)</f>
        <v>0.12</v>
      </c>
      <c r="AJ311" s="55">
        <f t="shared" si="86"/>
        <v>0.24</v>
      </c>
      <c r="AK311" s="55">
        <f t="shared" si="86"/>
        <v>0.36</v>
      </c>
      <c r="AL311" s="55">
        <f t="shared" si="86"/>
        <v>0.48</v>
      </c>
      <c r="AM311" s="55">
        <f t="shared" si="86"/>
        <v>0.6</v>
      </c>
      <c r="AN311" s="55">
        <f t="shared" si="86"/>
        <v>0.72</v>
      </c>
      <c r="AO311" s="55">
        <f t="shared" si="86"/>
        <v>0.84</v>
      </c>
      <c r="AP311" s="55">
        <f t="shared" si="86"/>
        <v>0.96</v>
      </c>
      <c r="AQ311" s="55">
        <f t="shared" si="86"/>
        <v>1.08</v>
      </c>
      <c r="AR311" s="55">
        <f t="shared" si="86"/>
        <v>1.2000000000000002</v>
      </c>
      <c r="AS311" s="55">
        <f t="shared" si="86"/>
        <v>1.3200000000000003</v>
      </c>
      <c r="AT311" s="55">
        <f t="shared" si="86"/>
        <v>1.4400000000000004</v>
      </c>
      <c r="AU311" s="55">
        <f t="shared" si="86"/>
        <v>1.5600000000000005</v>
      </c>
      <c r="AV311" s="55">
        <f t="shared" si="86"/>
        <v>1.6800000000000006</v>
      </c>
      <c r="AW311" s="55">
        <f t="shared" si="86"/>
        <v>1.8000000000000007</v>
      </c>
      <c r="AX311" s="55">
        <f t="shared" si="86"/>
        <v>1.9200000000000008</v>
      </c>
      <c r="AY311" s="55">
        <f t="shared" si="86"/>
        <v>2.040000000000001</v>
      </c>
      <c r="AZ311" s="55">
        <f t="shared" si="86"/>
        <v>2.160000000000001</v>
      </c>
      <c r="BA311" s="55">
        <f t="shared" si="86"/>
        <v>2.280000000000001</v>
      </c>
      <c r="BB311" s="55">
        <f t="shared" si="86"/>
        <v>2.4000000000000012</v>
      </c>
      <c r="BC311" s="55">
        <f t="shared" si="86"/>
        <v>2.5200000000000014</v>
      </c>
      <c r="BD311" s="55">
        <f t="shared" si="86"/>
        <v>2.6400000000000015</v>
      </c>
      <c r="BE311" s="55">
        <f t="shared" si="86"/>
        <v>2.7600000000000016</v>
      </c>
      <c r="BF311" s="55">
        <f t="shared" si="86"/>
        <v>2.8800000000000017</v>
      </c>
      <c r="BG311" s="55">
        <f t="shared" si="86"/>
        <v>3.0000000000000018</v>
      </c>
      <c r="BH311" s="55">
        <f t="shared" si="86"/>
        <v>3.120000000000002</v>
      </c>
      <c r="BI311" s="55">
        <f t="shared" si="86"/>
        <v>3.240000000000002</v>
      </c>
      <c r="BJ311" s="55">
        <f t="shared" si="86"/>
        <v>3.360000000000002</v>
      </c>
      <c r="BK311" s="55">
        <f t="shared" si="86"/>
        <v>3.480000000000002</v>
      </c>
      <c r="BL311" s="55">
        <f t="shared" si="86"/>
        <v>3.6000000000000023</v>
      </c>
      <c r="BM311" s="55">
        <f t="shared" si="86"/>
        <v>3.7200000000000024</v>
      </c>
      <c r="BN311" s="55">
        <f t="shared" si="86"/>
        <v>3.8400000000000025</v>
      </c>
      <c r="BO311" s="55">
        <f t="shared" si="86"/>
        <v>3.9600000000000026</v>
      </c>
      <c r="BP311" s="55">
        <f t="shared" si="86"/>
        <v>4.080000000000003</v>
      </c>
      <c r="BQ311" s="55">
        <f t="shared" si="86"/>
        <v>4.200000000000003</v>
      </c>
      <c r="BR311" s="55">
        <f t="shared" si="86"/>
        <v>4.320000000000003</v>
      </c>
    </row>
    <row r="312" spans="1:70" s="12" customFormat="1" ht="15.75" customHeight="1" outlineLevel="2">
      <c r="A312" s="139">
        <v>18</v>
      </c>
      <c r="B312" s="36" t="s">
        <v>370</v>
      </c>
      <c r="C312" s="65" t="s">
        <v>413</v>
      </c>
      <c r="D312" s="139" t="s">
        <v>97</v>
      </c>
      <c r="E312" s="37" t="s">
        <v>11</v>
      </c>
      <c r="F312" s="35" t="s">
        <v>11</v>
      </c>
      <c r="G312" s="36" t="s">
        <v>91</v>
      </c>
      <c r="H312" s="39">
        <v>0.158</v>
      </c>
      <c r="I312" s="49">
        <v>1</v>
      </c>
      <c r="J312" s="55">
        <v>20</v>
      </c>
      <c r="K312" s="55">
        <f t="shared" si="46"/>
        <v>3.16</v>
      </c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174">
        <f aca="true" t="shared" si="87" ref="AI312:BE312">(AH312+0.32)</f>
        <v>0.32</v>
      </c>
      <c r="AJ312" s="55">
        <f t="shared" si="87"/>
        <v>0.64</v>
      </c>
      <c r="AK312" s="55">
        <f t="shared" si="87"/>
        <v>0.96</v>
      </c>
      <c r="AL312" s="55">
        <f t="shared" si="87"/>
        <v>1.28</v>
      </c>
      <c r="AM312" s="55">
        <f t="shared" si="87"/>
        <v>1.6</v>
      </c>
      <c r="AN312" s="55">
        <f t="shared" si="87"/>
        <v>1.9200000000000002</v>
      </c>
      <c r="AO312" s="55">
        <f t="shared" si="87"/>
        <v>2.24</v>
      </c>
      <c r="AP312" s="55">
        <f t="shared" si="87"/>
        <v>2.56</v>
      </c>
      <c r="AQ312" s="55">
        <f t="shared" si="87"/>
        <v>2.88</v>
      </c>
      <c r="AR312" s="55">
        <f t="shared" si="87"/>
        <v>3.1999999999999997</v>
      </c>
      <c r="AS312" s="55">
        <f t="shared" si="87"/>
        <v>3.5199999999999996</v>
      </c>
      <c r="AT312" s="55">
        <f t="shared" si="87"/>
        <v>3.8399999999999994</v>
      </c>
      <c r="AU312" s="55">
        <f t="shared" si="87"/>
        <v>4.159999999999999</v>
      </c>
      <c r="AV312" s="55">
        <f t="shared" si="87"/>
        <v>4.4799999999999995</v>
      </c>
      <c r="AW312" s="55">
        <f t="shared" si="87"/>
        <v>4.8</v>
      </c>
      <c r="AX312" s="55">
        <f t="shared" si="87"/>
        <v>5.12</v>
      </c>
      <c r="AY312" s="55">
        <f t="shared" si="87"/>
        <v>5.44</v>
      </c>
      <c r="AZ312" s="55">
        <f t="shared" si="87"/>
        <v>5.760000000000001</v>
      </c>
      <c r="BA312" s="55">
        <f t="shared" si="87"/>
        <v>6.080000000000001</v>
      </c>
      <c r="BB312" s="55">
        <f t="shared" si="87"/>
        <v>6.400000000000001</v>
      </c>
      <c r="BC312" s="55">
        <f t="shared" si="87"/>
        <v>6.7200000000000015</v>
      </c>
      <c r="BD312" s="55">
        <f t="shared" si="87"/>
        <v>7.040000000000002</v>
      </c>
      <c r="BE312" s="55">
        <f t="shared" si="87"/>
        <v>7.360000000000002</v>
      </c>
      <c r="BF312" s="55"/>
      <c r="BG312" s="55"/>
      <c r="BH312" s="55"/>
      <c r="BI312" s="55"/>
      <c r="BJ312" s="55"/>
      <c r="BK312" s="2"/>
      <c r="BL312" s="2"/>
      <c r="BM312" s="2"/>
      <c r="BN312" s="2"/>
      <c r="BO312" s="2"/>
      <c r="BP312" s="2"/>
      <c r="BQ312" s="2"/>
      <c r="BR312" s="2"/>
    </row>
    <row r="313" spans="1:70" s="12" customFormat="1" ht="15.75" customHeight="1" outlineLevel="2">
      <c r="A313" s="139">
        <v>19</v>
      </c>
      <c r="B313" s="36" t="s">
        <v>370</v>
      </c>
      <c r="C313" s="65" t="s">
        <v>421</v>
      </c>
      <c r="D313" s="139" t="s">
        <v>99</v>
      </c>
      <c r="E313" s="37" t="s">
        <v>40</v>
      </c>
      <c r="F313" s="35" t="s">
        <v>40</v>
      </c>
      <c r="G313" s="92" t="s">
        <v>50</v>
      </c>
      <c r="H313" s="39">
        <v>0.554</v>
      </c>
      <c r="I313" s="132">
        <v>0.7</v>
      </c>
      <c r="J313" s="55">
        <v>20</v>
      </c>
      <c r="K313" s="55">
        <f t="shared" si="46"/>
        <v>7.756</v>
      </c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174">
        <f aca="true" t="shared" si="88" ref="AI313:BN313">(AH313+0.78)</f>
        <v>0.78</v>
      </c>
      <c r="AJ313" s="55">
        <f t="shared" si="88"/>
        <v>1.56</v>
      </c>
      <c r="AK313" s="55">
        <f t="shared" si="88"/>
        <v>2.34</v>
      </c>
      <c r="AL313" s="55">
        <f t="shared" si="88"/>
        <v>3.12</v>
      </c>
      <c r="AM313" s="55">
        <f t="shared" si="88"/>
        <v>3.9000000000000004</v>
      </c>
      <c r="AN313" s="55">
        <f t="shared" si="88"/>
        <v>4.680000000000001</v>
      </c>
      <c r="AO313" s="55">
        <f t="shared" si="88"/>
        <v>5.460000000000001</v>
      </c>
      <c r="AP313" s="55">
        <f t="shared" si="88"/>
        <v>6.240000000000001</v>
      </c>
      <c r="AQ313" s="55">
        <f t="shared" si="88"/>
        <v>7.020000000000001</v>
      </c>
      <c r="AR313" s="55">
        <f t="shared" si="88"/>
        <v>7.800000000000002</v>
      </c>
      <c r="AS313" s="55">
        <f t="shared" si="88"/>
        <v>8.580000000000002</v>
      </c>
      <c r="AT313" s="55">
        <f t="shared" si="88"/>
        <v>9.360000000000001</v>
      </c>
      <c r="AU313" s="55">
        <f t="shared" si="88"/>
        <v>10.14</v>
      </c>
      <c r="AV313" s="55">
        <f t="shared" si="88"/>
        <v>10.92</v>
      </c>
      <c r="AW313" s="55">
        <f t="shared" si="88"/>
        <v>11.7</v>
      </c>
      <c r="AX313" s="55">
        <f t="shared" si="88"/>
        <v>12.479999999999999</v>
      </c>
      <c r="AY313" s="55">
        <f t="shared" si="88"/>
        <v>13.259999999999998</v>
      </c>
      <c r="AZ313" s="55">
        <f t="shared" si="88"/>
        <v>14.039999999999997</v>
      </c>
      <c r="BA313" s="55">
        <f t="shared" si="88"/>
        <v>14.819999999999997</v>
      </c>
      <c r="BB313" s="55">
        <f t="shared" si="88"/>
        <v>15.599999999999996</v>
      </c>
      <c r="BC313" s="55">
        <f t="shared" si="88"/>
        <v>16.379999999999995</v>
      </c>
      <c r="BD313" s="55">
        <f t="shared" si="88"/>
        <v>17.159999999999997</v>
      </c>
      <c r="BE313" s="55">
        <f t="shared" si="88"/>
        <v>17.939999999999998</v>
      </c>
      <c r="BF313" s="55">
        <f t="shared" si="88"/>
        <v>18.72</v>
      </c>
      <c r="BG313" s="55">
        <f t="shared" si="88"/>
        <v>19.5</v>
      </c>
      <c r="BH313" s="55">
        <f t="shared" si="88"/>
        <v>20.28</v>
      </c>
      <c r="BI313" s="55">
        <f t="shared" si="88"/>
        <v>21.060000000000002</v>
      </c>
      <c r="BJ313" s="55">
        <f t="shared" si="88"/>
        <v>21.840000000000003</v>
      </c>
      <c r="BK313" s="55">
        <f t="shared" si="88"/>
        <v>22.620000000000005</v>
      </c>
      <c r="BL313" s="55">
        <f t="shared" si="88"/>
        <v>23.400000000000006</v>
      </c>
      <c r="BM313" s="55">
        <f t="shared" si="88"/>
        <v>24.180000000000007</v>
      </c>
      <c r="BN313" s="55">
        <f t="shared" si="88"/>
        <v>24.960000000000008</v>
      </c>
      <c r="BO313" s="2"/>
      <c r="BP313" s="2"/>
      <c r="BQ313" s="2"/>
      <c r="BR313" s="2"/>
    </row>
    <row r="314" spans="1:70" s="12" customFormat="1" ht="15.75" customHeight="1" outlineLevel="2">
      <c r="A314" s="139">
        <v>20</v>
      </c>
      <c r="B314" s="36" t="s">
        <v>370</v>
      </c>
      <c r="C314" s="27" t="s">
        <v>437</v>
      </c>
      <c r="D314" s="27" t="s">
        <v>110</v>
      </c>
      <c r="E314" s="41" t="s">
        <v>21</v>
      </c>
      <c r="F314" s="142" t="s">
        <v>21</v>
      </c>
      <c r="G314" s="36" t="s">
        <v>28</v>
      </c>
      <c r="H314" s="27">
        <v>4.367</v>
      </c>
      <c r="I314" s="132">
        <v>0.7</v>
      </c>
      <c r="J314" s="55">
        <v>20</v>
      </c>
      <c r="K314" s="55">
        <f t="shared" si="46"/>
        <v>61.13799999999999</v>
      </c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174">
        <f aca="true" t="shared" si="89" ref="AI314:BR314">(AH314+6.11)</f>
        <v>6.11</v>
      </c>
      <c r="AJ314" s="55">
        <f t="shared" si="89"/>
        <v>12.22</v>
      </c>
      <c r="AK314" s="55">
        <f t="shared" si="89"/>
        <v>18.330000000000002</v>
      </c>
      <c r="AL314" s="55">
        <f t="shared" si="89"/>
        <v>24.44</v>
      </c>
      <c r="AM314" s="55">
        <f t="shared" si="89"/>
        <v>30.55</v>
      </c>
      <c r="AN314" s="55">
        <f t="shared" si="89"/>
        <v>36.660000000000004</v>
      </c>
      <c r="AO314" s="55">
        <f t="shared" si="89"/>
        <v>42.77</v>
      </c>
      <c r="AP314" s="55">
        <f t="shared" si="89"/>
        <v>48.88</v>
      </c>
      <c r="AQ314" s="55">
        <f t="shared" si="89"/>
        <v>54.99</v>
      </c>
      <c r="AR314" s="55">
        <f t="shared" si="89"/>
        <v>61.1</v>
      </c>
      <c r="AS314" s="55">
        <f t="shared" si="89"/>
        <v>67.21000000000001</v>
      </c>
      <c r="AT314" s="55">
        <f t="shared" si="89"/>
        <v>73.32000000000001</v>
      </c>
      <c r="AU314" s="55">
        <f t="shared" si="89"/>
        <v>79.43</v>
      </c>
      <c r="AV314" s="55">
        <f t="shared" si="89"/>
        <v>85.54</v>
      </c>
      <c r="AW314" s="55">
        <f t="shared" si="89"/>
        <v>91.65</v>
      </c>
      <c r="AX314" s="55">
        <f t="shared" si="89"/>
        <v>97.76</v>
      </c>
      <c r="AY314" s="55">
        <f t="shared" si="89"/>
        <v>103.87</v>
      </c>
      <c r="AZ314" s="55">
        <f t="shared" si="89"/>
        <v>109.98</v>
      </c>
      <c r="BA314" s="55">
        <f t="shared" si="89"/>
        <v>116.09</v>
      </c>
      <c r="BB314" s="55">
        <f t="shared" si="89"/>
        <v>122.2</v>
      </c>
      <c r="BC314" s="55">
        <f t="shared" si="89"/>
        <v>128.31</v>
      </c>
      <c r="BD314" s="55">
        <f t="shared" si="89"/>
        <v>134.42000000000002</v>
      </c>
      <c r="BE314" s="55">
        <f t="shared" si="89"/>
        <v>140.53000000000003</v>
      </c>
      <c r="BF314" s="55">
        <f t="shared" si="89"/>
        <v>146.64000000000004</v>
      </c>
      <c r="BG314" s="55">
        <f t="shared" si="89"/>
        <v>152.75000000000006</v>
      </c>
      <c r="BH314" s="55">
        <f t="shared" si="89"/>
        <v>158.86000000000007</v>
      </c>
      <c r="BI314" s="55">
        <f t="shared" si="89"/>
        <v>164.97000000000008</v>
      </c>
      <c r="BJ314" s="55">
        <f t="shared" si="89"/>
        <v>171.0800000000001</v>
      </c>
      <c r="BK314" s="55">
        <f t="shared" si="89"/>
        <v>177.1900000000001</v>
      </c>
      <c r="BL314" s="55">
        <f t="shared" si="89"/>
        <v>183.30000000000013</v>
      </c>
      <c r="BM314" s="55">
        <f t="shared" si="89"/>
        <v>189.41000000000014</v>
      </c>
      <c r="BN314" s="55">
        <f t="shared" si="89"/>
        <v>195.52000000000015</v>
      </c>
      <c r="BO314" s="55">
        <f t="shared" si="89"/>
        <v>201.63000000000017</v>
      </c>
      <c r="BP314" s="55">
        <f t="shared" si="89"/>
        <v>207.74000000000018</v>
      </c>
      <c r="BQ314" s="55">
        <f t="shared" si="89"/>
        <v>213.8500000000002</v>
      </c>
      <c r="BR314" s="55">
        <f t="shared" si="89"/>
        <v>219.9600000000002</v>
      </c>
    </row>
    <row r="315" spans="1:70" s="12" customFormat="1" ht="15.75" customHeight="1" outlineLevel="2">
      <c r="A315" s="139">
        <v>21</v>
      </c>
      <c r="B315" s="36" t="s">
        <v>370</v>
      </c>
      <c r="C315" s="65" t="s">
        <v>401</v>
      </c>
      <c r="D315" s="139" t="s">
        <v>97</v>
      </c>
      <c r="E315" s="37" t="s">
        <v>11</v>
      </c>
      <c r="F315" s="35" t="s">
        <v>11</v>
      </c>
      <c r="G315" s="36" t="s">
        <v>91</v>
      </c>
      <c r="H315" s="78">
        <v>0.3</v>
      </c>
      <c r="I315" s="49">
        <v>1</v>
      </c>
      <c r="J315" s="55">
        <v>20</v>
      </c>
      <c r="K315" s="55">
        <f t="shared" si="46"/>
        <v>6</v>
      </c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174">
        <f aca="true" t="shared" si="90" ref="AI315:AY315">(AH315+0.6)</f>
        <v>0.6</v>
      </c>
      <c r="AJ315" s="55">
        <f t="shared" si="90"/>
        <v>1.2</v>
      </c>
      <c r="AK315" s="55">
        <f t="shared" si="90"/>
        <v>1.7999999999999998</v>
      </c>
      <c r="AL315" s="55">
        <f t="shared" si="90"/>
        <v>2.4</v>
      </c>
      <c r="AM315" s="55">
        <f t="shared" si="90"/>
        <v>3</v>
      </c>
      <c r="AN315" s="55">
        <f t="shared" si="90"/>
        <v>3.6</v>
      </c>
      <c r="AO315" s="55">
        <f t="shared" si="90"/>
        <v>4.2</v>
      </c>
      <c r="AP315" s="55">
        <f t="shared" si="90"/>
        <v>4.8</v>
      </c>
      <c r="AQ315" s="55">
        <f t="shared" si="90"/>
        <v>5.3999999999999995</v>
      </c>
      <c r="AR315" s="55">
        <f t="shared" si="90"/>
        <v>5.999999999999999</v>
      </c>
      <c r="AS315" s="55">
        <f t="shared" si="90"/>
        <v>6.599999999999999</v>
      </c>
      <c r="AT315" s="55">
        <f t="shared" si="90"/>
        <v>7.199999999999998</v>
      </c>
      <c r="AU315" s="55">
        <f t="shared" si="90"/>
        <v>7.799999999999998</v>
      </c>
      <c r="AV315" s="55">
        <f t="shared" si="90"/>
        <v>8.399999999999999</v>
      </c>
      <c r="AW315" s="55">
        <f t="shared" si="90"/>
        <v>8.999999999999998</v>
      </c>
      <c r="AX315" s="55">
        <f t="shared" si="90"/>
        <v>9.599999999999998</v>
      </c>
      <c r="AY315" s="55">
        <f t="shared" si="90"/>
        <v>10.199999999999998</v>
      </c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1:70" s="12" customFormat="1" ht="15.75" customHeight="1" outlineLevel="2">
      <c r="A316" s="139">
        <v>22</v>
      </c>
      <c r="B316" s="36" t="s">
        <v>370</v>
      </c>
      <c r="C316" s="65" t="s">
        <v>402</v>
      </c>
      <c r="D316" s="139" t="s">
        <v>97</v>
      </c>
      <c r="E316" s="144" t="s">
        <v>11</v>
      </c>
      <c r="F316" s="35" t="s">
        <v>11</v>
      </c>
      <c r="G316" s="36" t="s">
        <v>91</v>
      </c>
      <c r="H316" s="139">
        <v>1.339</v>
      </c>
      <c r="I316" s="49">
        <v>1.2</v>
      </c>
      <c r="J316" s="55">
        <v>20</v>
      </c>
      <c r="K316" s="55">
        <f t="shared" si="46"/>
        <v>32.136</v>
      </c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174">
        <f aca="true" t="shared" si="91" ref="AI316:AO316">(AH316+3.21)</f>
        <v>3.21</v>
      </c>
      <c r="AJ316" s="55">
        <f t="shared" si="91"/>
        <v>6.42</v>
      </c>
      <c r="AK316" s="55">
        <f t="shared" si="91"/>
        <v>9.629999999999999</v>
      </c>
      <c r="AL316" s="55">
        <f t="shared" si="91"/>
        <v>12.84</v>
      </c>
      <c r="AM316" s="55">
        <f t="shared" si="91"/>
        <v>16.05</v>
      </c>
      <c r="AN316" s="55">
        <f t="shared" si="91"/>
        <v>19.26</v>
      </c>
      <c r="AO316" s="55">
        <f t="shared" si="91"/>
        <v>22.470000000000002</v>
      </c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1:73" s="12" customFormat="1" ht="15.75" customHeight="1" outlineLevel="2">
      <c r="A317" s="139">
        <v>23</v>
      </c>
      <c r="B317" s="36" t="s">
        <v>370</v>
      </c>
      <c r="C317" s="27" t="s">
        <v>522</v>
      </c>
      <c r="D317" s="27" t="s">
        <v>523</v>
      </c>
      <c r="E317" s="37"/>
      <c r="F317" s="142" t="s">
        <v>40</v>
      </c>
      <c r="G317" s="120" t="s">
        <v>50</v>
      </c>
      <c r="H317" s="78">
        <v>2.69</v>
      </c>
      <c r="I317" s="132">
        <v>0.7</v>
      </c>
      <c r="J317" s="55">
        <v>20</v>
      </c>
      <c r="K317" s="55">
        <f t="shared" si="46"/>
        <v>37.66</v>
      </c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174">
        <f aca="true" t="shared" si="92" ref="AI317:BU317">(AH317+3.77)</f>
        <v>3.77</v>
      </c>
      <c r="AJ317" s="55">
        <f t="shared" si="92"/>
        <v>7.54</v>
      </c>
      <c r="AK317" s="55">
        <f t="shared" si="92"/>
        <v>11.31</v>
      </c>
      <c r="AL317" s="55">
        <f t="shared" si="92"/>
        <v>15.08</v>
      </c>
      <c r="AM317" s="55">
        <f t="shared" si="92"/>
        <v>18.85</v>
      </c>
      <c r="AN317" s="55">
        <f t="shared" si="92"/>
        <v>22.62</v>
      </c>
      <c r="AO317" s="55">
        <f t="shared" si="92"/>
        <v>26.39</v>
      </c>
      <c r="AP317" s="55">
        <f t="shared" si="92"/>
        <v>30.16</v>
      </c>
      <c r="AQ317" s="55">
        <f t="shared" si="92"/>
        <v>33.93</v>
      </c>
      <c r="AR317" s="55">
        <f t="shared" si="92"/>
        <v>37.7</v>
      </c>
      <c r="AS317" s="55">
        <f t="shared" si="92"/>
        <v>41.470000000000006</v>
      </c>
      <c r="AT317" s="55">
        <f t="shared" si="92"/>
        <v>45.24000000000001</v>
      </c>
      <c r="AU317" s="55">
        <f t="shared" si="92"/>
        <v>49.01000000000001</v>
      </c>
      <c r="AV317" s="55">
        <f t="shared" si="92"/>
        <v>52.780000000000015</v>
      </c>
      <c r="AW317" s="55">
        <f t="shared" si="92"/>
        <v>56.55000000000002</v>
      </c>
      <c r="AX317" s="55">
        <f t="shared" si="92"/>
        <v>60.32000000000002</v>
      </c>
      <c r="AY317" s="55">
        <f t="shared" si="92"/>
        <v>64.09000000000002</v>
      </c>
      <c r="AZ317" s="55">
        <f t="shared" si="92"/>
        <v>67.86000000000001</v>
      </c>
      <c r="BA317" s="55">
        <f t="shared" si="92"/>
        <v>71.63000000000001</v>
      </c>
      <c r="BB317" s="55">
        <f t="shared" si="92"/>
        <v>75.4</v>
      </c>
      <c r="BC317" s="55">
        <f t="shared" si="92"/>
        <v>79.17</v>
      </c>
      <c r="BD317" s="55">
        <f t="shared" si="92"/>
        <v>82.94</v>
      </c>
      <c r="BE317" s="55">
        <f t="shared" si="92"/>
        <v>86.71</v>
      </c>
      <c r="BF317" s="55">
        <f t="shared" si="92"/>
        <v>90.47999999999999</v>
      </c>
      <c r="BG317" s="55">
        <f t="shared" si="92"/>
        <v>94.24999999999999</v>
      </c>
      <c r="BH317" s="55">
        <f t="shared" si="92"/>
        <v>98.01999999999998</v>
      </c>
      <c r="BI317" s="55">
        <f t="shared" si="92"/>
        <v>101.78999999999998</v>
      </c>
      <c r="BJ317" s="55">
        <f t="shared" si="92"/>
        <v>105.55999999999997</v>
      </c>
      <c r="BK317" s="55">
        <f t="shared" si="92"/>
        <v>109.32999999999997</v>
      </c>
      <c r="BL317" s="55">
        <f t="shared" si="92"/>
        <v>113.09999999999997</v>
      </c>
      <c r="BM317" s="55">
        <f t="shared" si="92"/>
        <v>116.86999999999996</v>
      </c>
      <c r="BN317" s="55">
        <f t="shared" si="92"/>
        <v>120.63999999999996</v>
      </c>
      <c r="BO317" s="55">
        <f t="shared" si="92"/>
        <v>124.40999999999995</v>
      </c>
      <c r="BP317" s="55">
        <f t="shared" si="92"/>
        <v>128.17999999999995</v>
      </c>
      <c r="BQ317" s="55">
        <f t="shared" si="92"/>
        <v>131.94999999999996</v>
      </c>
      <c r="BR317" s="55">
        <f t="shared" si="92"/>
        <v>135.71999999999997</v>
      </c>
      <c r="BS317" s="55">
        <f t="shared" si="92"/>
        <v>139.48999999999998</v>
      </c>
      <c r="BT317" s="55">
        <f t="shared" si="92"/>
        <v>143.26</v>
      </c>
      <c r="BU317" s="55">
        <f t="shared" si="92"/>
        <v>147.03</v>
      </c>
    </row>
    <row r="318" spans="1:73" s="12" customFormat="1" ht="15.75" customHeight="1" outlineLevel="2">
      <c r="A318" s="139">
        <v>24</v>
      </c>
      <c r="B318" s="36" t="s">
        <v>370</v>
      </c>
      <c r="C318" s="27" t="s">
        <v>524</v>
      </c>
      <c r="D318" s="27" t="s">
        <v>523</v>
      </c>
      <c r="E318" s="37"/>
      <c r="F318" s="142" t="s">
        <v>40</v>
      </c>
      <c r="G318" s="120" t="s">
        <v>50</v>
      </c>
      <c r="H318" s="78">
        <v>1.7</v>
      </c>
      <c r="I318" s="132">
        <v>0.7</v>
      </c>
      <c r="J318" s="55">
        <v>20</v>
      </c>
      <c r="K318" s="55">
        <f t="shared" si="46"/>
        <v>23.799999999999997</v>
      </c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174">
        <f aca="true" t="shared" si="93" ref="AI318:BU318">(AH318+2.38)</f>
        <v>2.38</v>
      </c>
      <c r="AJ318" s="55">
        <f t="shared" si="93"/>
        <v>4.76</v>
      </c>
      <c r="AK318" s="55">
        <f t="shared" si="93"/>
        <v>7.14</v>
      </c>
      <c r="AL318" s="55">
        <f t="shared" si="93"/>
        <v>9.52</v>
      </c>
      <c r="AM318" s="55">
        <f t="shared" si="93"/>
        <v>11.899999999999999</v>
      </c>
      <c r="AN318" s="55">
        <f t="shared" si="93"/>
        <v>14.279999999999998</v>
      </c>
      <c r="AO318" s="55">
        <f t="shared" si="93"/>
        <v>16.659999999999997</v>
      </c>
      <c r="AP318" s="55">
        <f t="shared" si="93"/>
        <v>19.039999999999996</v>
      </c>
      <c r="AQ318" s="55">
        <f t="shared" si="93"/>
        <v>21.419999999999995</v>
      </c>
      <c r="AR318" s="55">
        <f t="shared" si="93"/>
        <v>23.799999999999994</v>
      </c>
      <c r="AS318" s="55">
        <f t="shared" si="93"/>
        <v>26.179999999999993</v>
      </c>
      <c r="AT318" s="55">
        <f t="shared" si="93"/>
        <v>28.55999999999999</v>
      </c>
      <c r="AU318" s="55">
        <f t="shared" si="93"/>
        <v>30.93999999999999</v>
      </c>
      <c r="AV318" s="55">
        <f t="shared" si="93"/>
        <v>33.31999999999999</v>
      </c>
      <c r="AW318" s="55">
        <f t="shared" si="93"/>
        <v>35.699999999999996</v>
      </c>
      <c r="AX318" s="55">
        <f t="shared" si="93"/>
        <v>38.08</v>
      </c>
      <c r="AY318" s="55">
        <f t="shared" si="93"/>
        <v>40.46</v>
      </c>
      <c r="AZ318" s="55">
        <f t="shared" si="93"/>
        <v>42.84</v>
      </c>
      <c r="BA318" s="55">
        <f t="shared" si="93"/>
        <v>45.220000000000006</v>
      </c>
      <c r="BB318" s="55">
        <f t="shared" si="93"/>
        <v>47.60000000000001</v>
      </c>
      <c r="BC318" s="55">
        <f t="shared" si="93"/>
        <v>49.98000000000001</v>
      </c>
      <c r="BD318" s="55">
        <f t="shared" si="93"/>
        <v>52.360000000000014</v>
      </c>
      <c r="BE318" s="55">
        <f t="shared" si="93"/>
        <v>54.740000000000016</v>
      </c>
      <c r="BF318" s="55">
        <f t="shared" si="93"/>
        <v>57.12000000000002</v>
      </c>
      <c r="BG318" s="55">
        <f t="shared" si="93"/>
        <v>59.50000000000002</v>
      </c>
      <c r="BH318" s="55">
        <f t="shared" si="93"/>
        <v>61.880000000000024</v>
      </c>
      <c r="BI318" s="55">
        <f t="shared" si="93"/>
        <v>64.26000000000002</v>
      </c>
      <c r="BJ318" s="55">
        <f t="shared" si="93"/>
        <v>66.64000000000001</v>
      </c>
      <c r="BK318" s="55">
        <f t="shared" si="93"/>
        <v>69.02000000000001</v>
      </c>
      <c r="BL318" s="55">
        <f t="shared" si="93"/>
        <v>71.4</v>
      </c>
      <c r="BM318" s="55">
        <f t="shared" si="93"/>
        <v>73.78</v>
      </c>
      <c r="BN318" s="55">
        <f t="shared" si="93"/>
        <v>76.16</v>
      </c>
      <c r="BO318" s="55">
        <f t="shared" si="93"/>
        <v>78.53999999999999</v>
      </c>
      <c r="BP318" s="55">
        <f t="shared" si="93"/>
        <v>80.91999999999999</v>
      </c>
      <c r="BQ318" s="55">
        <f t="shared" si="93"/>
        <v>83.29999999999998</v>
      </c>
      <c r="BR318" s="55">
        <f t="shared" si="93"/>
        <v>85.67999999999998</v>
      </c>
      <c r="BS318" s="55">
        <f t="shared" si="93"/>
        <v>88.05999999999997</v>
      </c>
      <c r="BT318" s="55">
        <f t="shared" si="93"/>
        <v>90.43999999999997</v>
      </c>
      <c r="BU318" s="55">
        <f t="shared" si="93"/>
        <v>92.81999999999996</v>
      </c>
    </row>
    <row r="319" spans="1:70" s="12" customFormat="1" ht="15.75" customHeight="1" outlineLevel="2">
      <c r="A319" s="139">
        <v>25</v>
      </c>
      <c r="B319" s="36" t="s">
        <v>370</v>
      </c>
      <c r="C319" s="65" t="s">
        <v>406</v>
      </c>
      <c r="D319" s="139" t="s">
        <v>97</v>
      </c>
      <c r="E319" s="37" t="s">
        <v>21</v>
      </c>
      <c r="F319" s="49" t="s">
        <v>21</v>
      </c>
      <c r="G319" s="38" t="s">
        <v>91</v>
      </c>
      <c r="H319" s="39">
        <v>0.077</v>
      </c>
      <c r="I319" s="132">
        <v>0.7</v>
      </c>
      <c r="J319" s="55">
        <v>20</v>
      </c>
      <c r="K319" s="55">
        <f t="shared" si="46"/>
        <v>1.0779999999999998</v>
      </c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174">
        <f aca="true" t="shared" si="94" ref="AI319:AR320">(AH319+0.11)</f>
        <v>0.11</v>
      </c>
      <c r="AJ319" s="55">
        <f t="shared" si="94"/>
        <v>0.22</v>
      </c>
      <c r="AK319" s="55">
        <f t="shared" si="94"/>
        <v>0.33</v>
      </c>
      <c r="AL319" s="55">
        <f t="shared" si="94"/>
        <v>0.44</v>
      </c>
      <c r="AM319" s="55">
        <f t="shared" si="94"/>
        <v>0.55</v>
      </c>
      <c r="AN319" s="55">
        <f t="shared" si="94"/>
        <v>0.66</v>
      </c>
      <c r="AO319" s="55">
        <f t="shared" si="94"/>
        <v>0.77</v>
      </c>
      <c r="AP319" s="55">
        <f t="shared" si="94"/>
        <v>0.88</v>
      </c>
      <c r="AQ319" s="55">
        <f t="shared" si="94"/>
        <v>0.99</v>
      </c>
      <c r="AR319" s="55">
        <f t="shared" si="94"/>
        <v>1.1</v>
      </c>
      <c r="AS319" s="55">
        <f aca="true" t="shared" si="95" ref="AS319:BH320">(AR319+0.11)</f>
        <v>1.2100000000000002</v>
      </c>
      <c r="AT319" s="55">
        <f t="shared" si="95"/>
        <v>1.3200000000000003</v>
      </c>
      <c r="AU319" s="55">
        <f t="shared" si="95"/>
        <v>1.4300000000000004</v>
      </c>
      <c r="AV319" s="55">
        <f t="shared" si="95"/>
        <v>1.5400000000000005</v>
      </c>
      <c r="AW319" s="55">
        <f t="shared" si="95"/>
        <v>1.6500000000000006</v>
      </c>
      <c r="AX319" s="55">
        <f t="shared" si="95"/>
        <v>1.7600000000000007</v>
      </c>
      <c r="AY319" s="55">
        <f t="shared" si="95"/>
        <v>1.8700000000000008</v>
      </c>
      <c r="AZ319" s="55">
        <f t="shared" si="95"/>
        <v>1.9800000000000009</v>
      </c>
      <c r="BA319" s="55">
        <f t="shared" si="95"/>
        <v>2.0900000000000007</v>
      </c>
      <c r="BB319" s="55">
        <f t="shared" si="95"/>
        <v>2.2000000000000006</v>
      </c>
      <c r="BC319" s="55">
        <f t="shared" si="95"/>
        <v>2.3100000000000005</v>
      </c>
      <c r="BD319" s="55">
        <f t="shared" si="95"/>
        <v>2.4200000000000004</v>
      </c>
      <c r="BE319" s="55">
        <f t="shared" si="95"/>
        <v>2.5300000000000002</v>
      </c>
      <c r="BF319" s="55">
        <f t="shared" si="95"/>
        <v>2.64</v>
      </c>
      <c r="BG319" s="55">
        <f t="shared" si="95"/>
        <v>2.75</v>
      </c>
      <c r="BH319" s="55">
        <f t="shared" si="95"/>
        <v>2.86</v>
      </c>
      <c r="BI319" s="55">
        <f aca="true" t="shared" si="96" ref="BI319:BR320">(BH319+0.11)</f>
        <v>2.9699999999999998</v>
      </c>
      <c r="BJ319" s="55">
        <f t="shared" si="96"/>
        <v>3.0799999999999996</v>
      </c>
      <c r="BK319" s="55">
        <f t="shared" si="96"/>
        <v>3.1899999999999995</v>
      </c>
      <c r="BL319" s="55">
        <f t="shared" si="96"/>
        <v>3.2999999999999994</v>
      </c>
      <c r="BM319" s="55">
        <f t="shared" si="96"/>
        <v>3.4099999999999993</v>
      </c>
      <c r="BN319" s="55">
        <f t="shared" si="96"/>
        <v>3.519999999999999</v>
      </c>
      <c r="BO319" s="55">
        <f t="shared" si="96"/>
        <v>3.629999999999999</v>
      </c>
      <c r="BP319" s="55">
        <f t="shared" si="96"/>
        <v>3.739999999999999</v>
      </c>
      <c r="BQ319" s="55">
        <f t="shared" si="96"/>
        <v>3.8499999999999988</v>
      </c>
      <c r="BR319" s="55">
        <f t="shared" si="96"/>
        <v>3.9599999999999986</v>
      </c>
    </row>
    <row r="320" spans="1:70" s="12" customFormat="1" ht="15.75" customHeight="1" outlineLevel="2">
      <c r="A320" s="139">
        <v>26</v>
      </c>
      <c r="B320" s="36" t="s">
        <v>370</v>
      </c>
      <c r="C320" s="65" t="s">
        <v>407</v>
      </c>
      <c r="D320" s="139" t="s">
        <v>97</v>
      </c>
      <c r="E320" s="37" t="s">
        <v>21</v>
      </c>
      <c r="F320" s="49" t="s">
        <v>21</v>
      </c>
      <c r="G320" s="38" t="s">
        <v>91</v>
      </c>
      <c r="H320" s="39">
        <v>0.077</v>
      </c>
      <c r="I320" s="132">
        <v>0.7</v>
      </c>
      <c r="J320" s="55">
        <v>20</v>
      </c>
      <c r="K320" s="55">
        <f t="shared" si="46"/>
        <v>1.0779999999999998</v>
      </c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174">
        <f t="shared" si="94"/>
        <v>0.11</v>
      </c>
      <c r="AJ320" s="55">
        <f t="shared" si="94"/>
        <v>0.22</v>
      </c>
      <c r="AK320" s="55">
        <f t="shared" si="94"/>
        <v>0.33</v>
      </c>
      <c r="AL320" s="55">
        <f t="shared" si="94"/>
        <v>0.44</v>
      </c>
      <c r="AM320" s="55">
        <f t="shared" si="94"/>
        <v>0.55</v>
      </c>
      <c r="AN320" s="55">
        <f t="shared" si="94"/>
        <v>0.66</v>
      </c>
      <c r="AO320" s="55">
        <f t="shared" si="94"/>
        <v>0.77</v>
      </c>
      <c r="AP320" s="55">
        <f t="shared" si="94"/>
        <v>0.88</v>
      </c>
      <c r="AQ320" s="55">
        <f t="shared" si="94"/>
        <v>0.99</v>
      </c>
      <c r="AR320" s="55">
        <f t="shared" si="94"/>
        <v>1.1</v>
      </c>
      <c r="AS320" s="55">
        <f t="shared" si="95"/>
        <v>1.2100000000000002</v>
      </c>
      <c r="AT320" s="55">
        <f t="shared" si="95"/>
        <v>1.3200000000000003</v>
      </c>
      <c r="AU320" s="55">
        <f t="shared" si="95"/>
        <v>1.4300000000000004</v>
      </c>
      <c r="AV320" s="55">
        <f t="shared" si="95"/>
        <v>1.5400000000000005</v>
      </c>
      <c r="AW320" s="55">
        <f t="shared" si="95"/>
        <v>1.6500000000000006</v>
      </c>
      <c r="AX320" s="55">
        <f t="shared" si="95"/>
        <v>1.7600000000000007</v>
      </c>
      <c r="AY320" s="55">
        <f t="shared" si="95"/>
        <v>1.8700000000000008</v>
      </c>
      <c r="AZ320" s="55">
        <f t="shared" si="95"/>
        <v>1.9800000000000009</v>
      </c>
      <c r="BA320" s="55">
        <f t="shared" si="95"/>
        <v>2.0900000000000007</v>
      </c>
      <c r="BB320" s="55">
        <f t="shared" si="95"/>
        <v>2.2000000000000006</v>
      </c>
      <c r="BC320" s="55">
        <f t="shared" si="95"/>
        <v>2.3100000000000005</v>
      </c>
      <c r="BD320" s="55">
        <f t="shared" si="95"/>
        <v>2.4200000000000004</v>
      </c>
      <c r="BE320" s="55">
        <f t="shared" si="95"/>
        <v>2.5300000000000002</v>
      </c>
      <c r="BF320" s="55">
        <f t="shared" si="95"/>
        <v>2.64</v>
      </c>
      <c r="BG320" s="55">
        <f t="shared" si="95"/>
        <v>2.75</v>
      </c>
      <c r="BH320" s="55">
        <f t="shared" si="95"/>
        <v>2.86</v>
      </c>
      <c r="BI320" s="55">
        <f t="shared" si="96"/>
        <v>2.9699999999999998</v>
      </c>
      <c r="BJ320" s="55">
        <f t="shared" si="96"/>
        <v>3.0799999999999996</v>
      </c>
      <c r="BK320" s="55">
        <f t="shared" si="96"/>
        <v>3.1899999999999995</v>
      </c>
      <c r="BL320" s="55">
        <f t="shared" si="96"/>
        <v>3.2999999999999994</v>
      </c>
      <c r="BM320" s="55">
        <f t="shared" si="96"/>
        <v>3.4099999999999993</v>
      </c>
      <c r="BN320" s="55">
        <f t="shared" si="96"/>
        <v>3.519999999999999</v>
      </c>
      <c r="BO320" s="55">
        <f t="shared" si="96"/>
        <v>3.629999999999999</v>
      </c>
      <c r="BP320" s="55">
        <f t="shared" si="96"/>
        <v>3.739999999999999</v>
      </c>
      <c r="BQ320" s="55">
        <f t="shared" si="96"/>
        <v>3.8499999999999988</v>
      </c>
      <c r="BR320" s="55">
        <f t="shared" si="96"/>
        <v>3.9599999999999986</v>
      </c>
    </row>
    <row r="321" spans="1:70" s="12" customFormat="1" ht="15.75" customHeight="1" outlineLevel="2">
      <c r="A321" s="139">
        <v>27</v>
      </c>
      <c r="B321" s="36" t="s">
        <v>370</v>
      </c>
      <c r="C321" s="65" t="s">
        <v>408</v>
      </c>
      <c r="D321" s="139" t="s">
        <v>97</v>
      </c>
      <c r="E321" s="37" t="s">
        <v>21</v>
      </c>
      <c r="F321" s="49" t="s">
        <v>21</v>
      </c>
      <c r="G321" s="38" t="s">
        <v>91</v>
      </c>
      <c r="H321" s="39">
        <v>0.071</v>
      </c>
      <c r="I321" s="132">
        <v>0.7</v>
      </c>
      <c r="J321" s="55">
        <v>20</v>
      </c>
      <c r="K321" s="55">
        <f t="shared" si="46"/>
        <v>0.9939999999999999</v>
      </c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174">
        <f aca="true" t="shared" si="97" ref="AI321:BR321">(AH321+0.1)</f>
        <v>0.1</v>
      </c>
      <c r="AJ321" s="55">
        <f t="shared" si="97"/>
        <v>0.2</v>
      </c>
      <c r="AK321" s="55">
        <f t="shared" si="97"/>
        <v>0.30000000000000004</v>
      </c>
      <c r="AL321" s="55">
        <f t="shared" si="97"/>
        <v>0.4</v>
      </c>
      <c r="AM321" s="55">
        <f t="shared" si="97"/>
        <v>0.5</v>
      </c>
      <c r="AN321" s="55">
        <f t="shared" si="97"/>
        <v>0.6</v>
      </c>
      <c r="AO321" s="55">
        <f t="shared" si="97"/>
        <v>0.7</v>
      </c>
      <c r="AP321" s="55">
        <f t="shared" si="97"/>
        <v>0.7999999999999999</v>
      </c>
      <c r="AQ321" s="55">
        <f t="shared" si="97"/>
        <v>0.8999999999999999</v>
      </c>
      <c r="AR321" s="55">
        <f t="shared" si="97"/>
        <v>0.9999999999999999</v>
      </c>
      <c r="AS321" s="55">
        <f t="shared" si="97"/>
        <v>1.0999999999999999</v>
      </c>
      <c r="AT321" s="55">
        <f t="shared" si="97"/>
        <v>1.2</v>
      </c>
      <c r="AU321" s="55">
        <f t="shared" si="97"/>
        <v>1.3</v>
      </c>
      <c r="AV321" s="55">
        <f t="shared" si="97"/>
        <v>1.4000000000000001</v>
      </c>
      <c r="AW321" s="55">
        <f t="shared" si="97"/>
        <v>1.5000000000000002</v>
      </c>
      <c r="AX321" s="55">
        <f t="shared" si="97"/>
        <v>1.6000000000000003</v>
      </c>
      <c r="AY321" s="55">
        <f t="shared" si="97"/>
        <v>1.7000000000000004</v>
      </c>
      <c r="AZ321" s="55">
        <f t="shared" si="97"/>
        <v>1.8000000000000005</v>
      </c>
      <c r="BA321" s="55">
        <f t="shared" si="97"/>
        <v>1.9000000000000006</v>
      </c>
      <c r="BB321" s="55">
        <f t="shared" si="97"/>
        <v>2.0000000000000004</v>
      </c>
      <c r="BC321" s="55">
        <f t="shared" si="97"/>
        <v>2.1000000000000005</v>
      </c>
      <c r="BD321" s="55">
        <f t="shared" si="97"/>
        <v>2.2000000000000006</v>
      </c>
      <c r="BE321" s="55">
        <f t="shared" si="97"/>
        <v>2.3000000000000007</v>
      </c>
      <c r="BF321" s="55">
        <f t="shared" si="97"/>
        <v>2.400000000000001</v>
      </c>
      <c r="BG321" s="55">
        <f t="shared" si="97"/>
        <v>2.500000000000001</v>
      </c>
      <c r="BH321" s="55">
        <f t="shared" si="97"/>
        <v>2.600000000000001</v>
      </c>
      <c r="BI321" s="55">
        <f t="shared" si="97"/>
        <v>2.700000000000001</v>
      </c>
      <c r="BJ321" s="55">
        <f t="shared" si="97"/>
        <v>2.800000000000001</v>
      </c>
      <c r="BK321" s="55">
        <f t="shared" si="97"/>
        <v>2.9000000000000012</v>
      </c>
      <c r="BL321" s="55">
        <f t="shared" si="97"/>
        <v>3.0000000000000013</v>
      </c>
      <c r="BM321" s="55">
        <f t="shared" si="97"/>
        <v>3.1000000000000014</v>
      </c>
      <c r="BN321" s="55">
        <f t="shared" si="97"/>
        <v>3.2000000000000015</v>
      </c>
      <c r="BO321" s="55">
        <f t="shared" si="97"/>
        <v>3.3000000000000016</v>
      </c>
      <c r="BP321" s="55">
        <f t="shared" si="97"/>
        <v>3.4000000000000017</v>
      </c>
      <c r="BQ321" s="55">
        <f t="shared" si="97"/>
        <v>3.5000000000000018</v>
      </c>
      <c r="BR321" s="55">
        <f t="shared" si="97"/>
        <v>3.600000000000002</v>
      </c>
    </row>
    <row r="322" spans="1:70" s="12" customFormat="1" ht="15.75" customHeight="1" outlineLevel="2">
      <c r="A322" s="139">
        <v>28</v>
      </c>
      <c r="B322" s="36" t="s">
        <v>370</v>
      </c>
      <c r="C322" s="65" t="s">
        <v>409</v>
      </c>
      <c r="D322" s="139" t="s">
        <v>97</v>
      </c>
      <c r="E322" s="37" t="s">
        <v>21</v>
      </c>
      <c r="F322" s="35" t="s">
        <v>21</v>
      </c>
      <c r="G322" s="36" t="s">
        <v>91</v>
      </c>
      <c r="H322" s="39">
        <v>0.029</v>
      </c>
      <c r="I322" s="132">
        <v>0.7</v>
      </c>
      <c r="J322" s="55">
        <v>20</v>
      </c>
      <c r="K322" s="55">
        <f t="shared" si="46"/>
        <v>0.40599999999999997</v>
      </c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174">
        <f aca="true" t="shared" si="98" ref="AI322:BR322">(AH322+0.04)</f>
        <v>0.04</v>
      </c>
      <c r="AJ322" s="55">
        <f t="shared" si="98"/>
        <v>0.08</v>
      </c>
      <c r="AK322" s="55">
        <f t="shared" si="98"/>
        <v>0.12</v>
      </c>
      <c r="AL322" s="55">
        <f t="shared" si="98"/>
        <v>0.16</v>
      </c>
      <c r="AM322" s="55">
        <f t="shared" si="98"/>
        <v>0.2</v>
      </c>
      <c r="AN322" s="55">
        <f t="shared" si="98"/>
        <v>0.24000000000000002</v>
      </c>
      <c r="AO322" s="55">
        <f t="shared" si="98"/>
        <v>0.28</v>
      </c>
      <c r="AP322" s="55">
        <f t="shared" si="98"/>
        <v>0.32</v>
      </c>
      <c r="AQ322" s="55">
        <f t="shared" si="98"/>
        <v>0.36</v>
      </c>
      <c r="AR322" s="55">
        <f t="shared" si="98"/>
        <v>0.39999999999999997</v>
      </c>
      <c r="AS322" s="55">
        <f t="shared" si="98"/>
        <v>0.43999999999999995</v>
      </c>
      <c r="AT322" s="55">
        <f t="shared" si="98"/>
        <v>0.4799999999999999</v>
      </c>
      <c r="AU322" s="55">
        <f t="shared" si="98"/>
        <v>0.5199999999999999</v>
      </c>
      <c r="AV322" s="55">
        <f t="shared" si="98"/>
        <v>0.5599999999999999</v>
      </c>
      <c r="AW322" s="55">
        <f t="shared" si="98"/>
        <v>0.6</v>
      </c>
      <c r="AX322" s="55">
        <f t="shared" si="98"/>
        <v>0.64</v>
      </c>
      <c r="AY322" s="55">
        <f t="shared" si="98"/>
        <v>0.68</v>
      </c>
      <c r="AZ322" s="55">
        <f t="shared" si="98"/>
        <v>0.7200000000000001</v>
      </c>
      <c r="BA322" s="55">
        <f t="shared" si="98"/>
        <v>0.7600000000000001</v>
      </c>
      <c r="BB322" s="55">
        <f t="shared" si="98"/>
        <v>0.8000000000000002</v>
      </c>
      <c r="BC322" s="55">
        <f t="shared" si="98"/>
        <v>0.8400000000000002</v>
      </c>
      <c r="BD322" s="55">
        <f t="shared" si="98"/>
        <v>0.8800000000000002</v>
      </c>
      <c r="BE322" s="55">
        <f t="shared" si="98"/>
        <v>0.9200000000000003</v>
      </c>
      <c r="BF322" s="55">
        <f t="shared" si="98"/>
        <v>0.9600000000000003</v>
      </c>
      <c r="BG322" s="55">
        <f t="shared" si="98"/>
        <v>1.0000000000000002</v>
      </c>
      <c r="BH322" s="55">
        <f t="shared" si="98"/>
        <v>1.0400000000000003</v>
      </c>
      <c r="BI322" s="55">
        <f t="shared" si="98"/>
        <v>1.0800000000000003</v>
      </c>
      <c r="BJ322" s="55">
        <f t="shared" si="98"/>
        <v>1.1200000000000003</v>
      </c>
      <c r="BK322" s="55">
        <f t="shared" si="98"/>
        <v>1.1600000000000004</v>
      </c>
      <c r="BL322" s="55">
        <f t="shared" si="98"/>
        <v>1.2000000000000004</v>
      </c>
      <c r="BM322" s="55">
        <f t="shared" si="98"/>
        <v>1.2400000000000004</v>
      </c>
      <c r="BN322" s="55">
        <f t="shared" si="98"/>
        <v>1.2800000000000005</v>
      </c>
      <c r="BO322" s="55">
        <f t="shared" si="98"/>
        <v>1.3200000000000005</v>
      </c>
      <c r="BP322" s="55">
        <f t="shared" si="98"/>
        <v>1.3600000000000005</v>
      </c>
      <c r="BQ322" s="55">
        <f t="shared" si="98"/>
        <v>1.4000000000000006</v>
      </c>
      <c r="BR322" s="55">
        <f t="shared" si="98"/>
        <v>1.4400000000000006</v>
      </c>
    </row>
    <row r="323" spans="1:72" s="12" customFormat="1" ht="15.75" customHeight="1" outlineLevel="2">
      <c r="A323" s="139">
        <v>29</v>
      </c>
      <c r="B323" s="36" t="s">
        <v>370</v>
      </c>
      <c r="C323" s="65" t="s">
        <v>415</v>
      </c>
      <c r="D323" s="139" t="s">
        <v>97</v>
      </c>
      <c r="E323" s="37" t="s">
        <v>35</v>
      </c>
      <c r="F323" s="35" t="s">
        <v>35</v>
      </c>
      <c r="G323" s="38" t="s">
        <v>28</v>
      </c>
      <c r="H323" s="39">
        <v>0.441</v>
      </c>
      <c r="I323" s="132">
        <v>0.7</v>
      </c>
      <c r="J323" s="55">
        <v>20</v>
      </c>
      <c r="K323" s="55">
        <f t="shared" si="46"/>
        <v>6.1739999999999995</v>
      </c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174">
        <f aca="true" t="shared" si="99" ref="AI323:BT323">(AH323+0.62)</f>
        <v>0.62</v>
      </c>
      <c r="AJ323" s="55">
        <f t="shared" si="99"/>
        <v>1.24</v>
      </c>
      <c r="AK323" s="55">
        <f t="shared" si="99"/>
        <v>1.8599999999999999</v>
      </c>
      <c r="AL323" s="55">
        <f t="shared" si="99"/>
        <v>2.48</v>
      </c>
      <c r="AM323" s="55">
        <f t="shared" si="99"/>
        <v>3.1</v>
      </c>
      <c r="AN323" s="55">
        <f t="shared" si="99"/>
        <v>3.72</v>
      </c>
      <c r="AO323" s="55">
        <f t="shared" si="99"/>
        <v>4.34</v>
      </c>
      <c r="AP323" s="55">
        <f t="shared" si="99"/>
        <v>4.96</v>
      </c>
      <c r="AQ323" s="55">
        <f t="shared" si="99"/>
        <v>5.58</v>
      </c>
      <c r="AR323" s="55">
        <f t="shared" si="99"/>
        <v>6.2</v>
      </c>
      <c r="AS323" s="55">
        <f t="shared" si="99"/>
        <v>6.82</v>
      </c>
      <c r="AT323" s="55">
        <f t="shared" si="99"/>
        <v>7.44</v>
      </c>
      <c r="AU323" s="55">
        <f t="shared" si="99"/>
        <v>8.06</v>
      </c>
      <c r="AV323" s="55">
        <f t="shared" si="99"/>
        <v>8.68</v>
      </c>
      <c r="AW323" s="55">
        <f t="shared" si="99"/>
        <v>9.299999999999999</v>
      </c>
      <c r="AX323" s="55">
        <f t="shared" si="99"/>
        <v>9.919999999999998</v>
      </c>
      <c r="AY323" s="55">
        <f t="shared" si="99"/>
        <v>10.539999999999997</v>
      </c>
      <c r="AZ323" s="55">
        <f t="shared" si="99"/>
        <v>11.159999999999997</v>
      </c>
      <c r="BA323" s="55">
        <f t="shared" si="99"/>
        <v>11.779999999999996</v>
      </c>
      <c r="BB323" s="55">
        <f t="shared" si="99"/>
        <v>12.399999999999995</v>
      </c>
      <c r="BC323" s="55">
        <f t="shared" si="99"/>
        <v>13.019999999999994</v>
      </c>
      <c r="BD323" s="55">
        <f t="shared" si="99"/>
        <v>13.639999999999993</v>
      </c>
      <c r="BE323" s="55">
        <f t="shared" si="99"/>
        <v>14.259999999999993</v>
      </c>
      <c r="BF323" s="55">
        <f t="shared" si="99"/>
        <v>14.879999999999992</v>
      </c>
      <c r="BG323" s="55">
        <f t="shared" si="99"/>
        <v>15.499999999999991</v>
      </c>
      <c r="BH323" s="55">
        <f t="shared" si="99"/>
        <v>16.11999999999999</v>
      </c>
      <c r="BI323" s="55">
        <f t="shared" si="99"/>
        <v>16.73999999999999</v>
      </c>
      <c r="BJ323" s="55">
        <f t="shared" si="99"/>
        <v>17.359999999999992</v>
      </c>
      <c r="BK323" s="55">
        <f t="shared" si="99"/>
        <v>17.979999999999993</v>
      </c>
      <c r="BL323" s="55">
        <f t="shared" si="99"/>
        <v>18.599999999999994</v>
      </c>
      <c r="BM323" s="55">
        <f t="shared" si="99"/>
        <v>19.219999999999995</v>
      </c>
      <c r="BN323" s="55">
        <f t="shared" si="99"/>
        <v>19.839999999999996</v>
      </c>
      <c r="BO323" s="55">
        <f t="shared" si="99"/>
        <v>20.459999999999997</v>
      </c>
      <c r="BP323" s="55">
        <f t="shared" si="99"/>
        <v>21.08</v>
      </c>
      <c r="BQ323" s="55">
        <f t="shared" si="99"/>
        <v>21.7</v>
      </c>
      <c r="BR323" s="55">
        <f t="shared" si="99"/>
        <v>22.32</v>
      </c>
      <c r="BS323" s="55">
        <f t="shared" si="99"/>
        <v>22.94</v>
      </c>
      <c r="BT323" s="55">
        <f t="shared" si="99"/>
        <v>23.560000000000002</v>
      </c>
    </row>
    <row r="324" spans="1:74" s="12" customFormat="1" ht="15.75" customHeight="1" outlineLevel="2">
      <c r="A324" s="139">
        <v>30</v>
      </c>
      <c r="B324" s="36" t="s">
        <v>370</v>
      </c>
      <c r="C324" s="27" t="s">
        <v>438</v>
      </c>
      <c r="D324" s="27" t="s">
        <v>111</v>
      </c>
      <c r="E324" s="41" t="s">
        <v>21</v>
      </c>
      <c r="F324" s="142" t="s">
        <v>21</v>
      </c>
      <c r="G324" s="91" t="s">
        <v>28</v>
      </c>
      <c r="H324" s="27">
        <v>4.456</v>
      </c>
      <c r="I324" s="132">
        <v>0.7</v>
      </c>
      <c r="J324" s="55">
        <v>20</v>
      </c>
      <c r="K324" s="55">
        <f t="shared" si="46"/>
        <v>62.384</v>
      </c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174">
        <f aca="true" t="shared" si="100" ref="AI324:BV324">(AH324+6.24)</f>
        <v>6.24</v>
      </c>
      <c r="AJ324" s="55">
        <f t="shared" si="100"/>
        <v>12.48</v>
      </c>
      <c r="AK324" s="55">
        <f t="shared" si="100"/>
        <v>18.72</v>
      </c>
      <c r="AL324" s="55">
        <f t="shared" si="100"/>
        <v>24.96</v>
      </c>
      <c r="AM324" s="55">
        <f t="shared" si="100"/>
        <v>31.200000000000003</v>
      </c>
      <c r="AN324" s="55">
        <f t="shared" si="100"/>
        <v>37.440000000000005</v>
      </c>
      <c r="AO324" s="55">
        <f t="shared" si="100"/>
        <v>43.68000000000001</v>
      </c>
      <c r="AP324" s="55">
        <f t="shared" si="100"/>
        <v>49.92000000000001</v>
      </c>
      <c r="AQ324" s="55">
        <f t="shared" si="100"/>
        <v>56.16000000000001</v>
      </c>
      <c r="AR324" s="55">
        <f t="shared" si="100"/>
        <v>62.40000000000001</v>
      </c>
      <c r="AS324" s="55">
        <f t="shared" si="100"/>
        <v>68.64000000000001</v>
      </c>
      <c r="AT324" s="55">
        <f t="shared" si="100"/>
        <v>74.88000000000001</v>
      </c>
      <c r="AU324" s="55">
        <f t="shared" si="100"/>
        <v>81.12</v>
      </c>
      <c r="AV324" s="55">
        <f t="shared" si="100"/>
        <v>87.36</v>
      </c>
      <c r="AW324" s="55">
        <f t="shared" si="100"/>
        <v>93.6</v>
      </c>
      <c r="AX324" s="55">
        <f t="shared" si="100"/>
        <v>99.83999999999999</v>
      </c>
      <c r="AY324" s="55">
        <f t="shared" si="100"/>
        <v>106.07999999999998</v>
      </c>
      <c r="AZ324" s="55">
        <f t="shared" si="100"/>
        <v>112.31999999999998</v>
      </c>
      <c r="BA324" s="55">
        <f t="shared" si="100"/>
        <v>118.55999999999997</v>
      </c>
      <c r="BB324" s="55">
        <f t="shared" si="100"/>
        <v>124.79999999999997</v>
      </c>
      <c r="BC324" s="55">
        <f t="shared" si="100"/>
        <v>131.03999999999996</v>
      </c>
      <c r="BD324" s="55">
        <f t="shared" si="100"/>
        <v>137.27999999999997</v>
      </c>
      <c r="BE324" s="55">
        <f t="shared" si="100"/>
        <v>143.51999999999998</v>
      </c>
      <c r="BF324" s="55">
        <f t="shared" si="100"/>
        <v>149.76</v>
      </c>
      <c r="BG324" s="55">
        <f t="shared" si="100"/>
        <v>156</v>
      </c>
      <c r="BH324" s="55">
        <f t="shared" si="100"/>
        <v>162.24</v>
      </c>
      <c r="BI324" s="55">
        <f t="shared" si="100"/>
        <v>168.48000000000002</v>
      </c>
      <c r="BJ324" s="55">
        <f t="shared" si="100"/>
        <v>174.72000000000003</v>
      </c>
      <c r="BK324" s="55">
        <f t="shared" si="100"/>
        <v>180.96000000000004</v>
      </c>
      <c r="BL324" s="55">
        <f t="shared" si="100"/>
        <v>187.20000000000005</v>
      </c>
      <c r="BM324" s="55">
        <f t="shared" si="100"/>
        <v>193.44000000000005</v>
      </c>
      <c r="BN324" s="55">
        <f t="shared" si="100"/>
        <v>199.68000000000006</v>
      </c>
      <c r="BO324" s="55">
        <f t="shared" si="100"/>
        <v>205.92000000000007</v>
      </c>
      <c r="BP324" s="55">
        <f t="shared" si="100"/>
        <v>212.16000000000008</v>
      </c>
      <c r="BQ324" s="55">
        <f t="shared" si="100"/>
        <v>218.4000000000001</v>
      </c>
      <c r="BR324" s="55">
        <f t="shared" si="100"/>
        <v>224.6400000000001</v>
      </c>
      <c r="BS324" s="55">
        <f t="shared" si="100"/>
        <v>230.8800000000001</v>
      </c>
      <c r="BT324" s="55">
        <f t="shared" si="100"/>
        <v>237.12000000000012</v>
      </c>
      <c r="BU324" s="55">
        <f t="shared" si="100"/>
        <v>243.36000000000013</v>
      </c>
      <c r="BV324" s="55">
        <f t="shared" si="100"/>
        <v>249.60000000000014</v>
      </c>
    </row>
    <row r="325" spans="1:73" s="12" customFormat="1" ht="15.75" customHeight="1" outlineLevel="2">
      <c r="A325" s="139">
        <v>31</v>
      </c>
      <c r="B325" s="36" t="s">
        <v>370</v>
      </c>
      <c r="C325" s="65" t="s">
        <v>403</v>
      </c>
      <c r="D325" s="139" t="s">
        <v>97</v>
      </c>
      <c r="E325" s="37" t="s">
        <v>21</v>
      </c>
      <c r="F325" s="35" t="s">
        <v>21</v>
      </c>
      <c r="G325" s="91" t="s">
        <v>91</v>
      </c>
      <c r="H325" s="39">
        <v>0.187</v>
      </c>
      <c r="I325" s="132">
        <v>0.7</v>
      </c>
      <c r="J325" s="55">
        <v>20</v>
      </c>
      <c r="K325" s="55">
        <f t="shared" si="46"/>
        <v>2.618</v>
      </c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174">
        <f aca="true" t="shared" si="101" ref="AI325:BU325">(AH325+0.26)</f>
        <v>0.26</v>
      </c>
      <c r="AJ325" s="55">
        <f t="shared" si="101"/>
        <v>0.52</v>
      </c>
      <c r="AK325" s="55">
        <f t="shared" si="101"/>
        <v>0.78</v>
      </c>
      <c r="AL325" s="55">
        <f t="shared" si="101"/>
        <v>1.04</v>
      </c>
      <c r="AM325" s="55">
        <f t="shared" si="101"/>
        <v>1.3</v>
      </c>
      <c r="AN325" s="55">
        <f t="shared" si="101"/>
        <v>1.56</v>
      </c>
      <c r="AO325" s="55">
        <f t="shared" si="101"/>
        <v>1.82</v>
      </c>
      <c r="AP325" s="55">
        <f t="shared" si="101"/>
        <v>2.08</v>
      </c>
      <c r="AQ325" s="55">
        <f t="shared" si="101"/>
        <v>2.34</v>
      </c>
      <c r="AR325" s="55">
        <f t="shared" si="101"/>
        <v>2.5999999999999996</v>
      </c>
      <c r="AS325" s="55">
        <f t="shared" si="101"/>
        <v>2.8599999999999994</v>
      </c>
      <c r="AT325" s="55">
        <f t="shared" si="101"/>
        <v>3.119999999999999</v>
      </c>
      <c r="AU325" s="55">
        <f t="shared" si="101"/>
        <v>3.379999999999999</v>
      </c>
      <c r="AV325" s="55">
        <f t="shared" si="101"/>
        <v>3.639999999999999</v>
      </c>
      <c r="AW325" s="55">
        <f t="shared" si="101"/>
        <v>3.8999999999999986</v>
      </c>
      <c r="AX325" s="55">
        <f t="shared" si="101"/>
        <v>4.159999999999998</v>
      </c>
      <c r="AY325" s="55">
        <f t="shared" si="101"/>
        <v>4.419999999999998</v>
      </c>
      <c r="AZ325" s="55">
        <f t="shared" si="101"/>
        <v>4.679999999999998</v>
      </c>
      <c r="BA325" s="55">
        <f t="shared" si="101"/>
        <v>4.939999999999998</v>
      </c>
      <c r="BB325" s="55">
        <f t="shared" si="101"/>
        <v>5.1999999999999975</v>
      </c>
      <c r="BC325" s="55">
        <f t="shared" si="101"/>
        <v>5.459999999999997</v>
      </c>
      <c r="BD325" s="55">
        <f t="shared" si="101"/>
        <v>5.719999999999997</v>
      </c>
      <c r="BE325" s="55">
        <f t="shared" si="101"/>
        <v>5.979999999999997</v>
      </c>
      <c r="BF325" s="55">
        <f t="shared" si="101"/>
        <v>6.239999999999997</v>
      </c>
      <c r="BG325" s="55">
        <f t="shared" si="101"/>
        <v>6.4999999999999964</v>
      </c>
      <c r="BH325" s="55">
        <f t="shared" si="101"/>
        <v>6.759999999999996</v>
      </c>
      <c r="BI325" s="55">
        <f t="shared" si="101"/>
        <v>7.019999999999996</v>
      </c>
      <c r="BJ325" s="55">
        <f t="shared" si="101"/>
        <v>7.279999999999996</v>
      </c>
      <c r="BK325" s="55">
        <f t="shared" si="101"/>
        <v>7.539999999999996</v>
      </c>
      <c r="BL325" s="55">
        <f t="shared" si="101"/>
        <v>7.799999999999995</v>
      </c>
      <c r="BM325" s="55">
        <f t="shared" si="101"/>
        <v>8.059999999999995</v>
      </c>
      <c r="BN325" s="55">
        <f t="shared" si="101"/>
        <v>8.319999999999995</v>
      </c>
      <c r="BO325" s="55">
        <f t="shared" si="101"/>
        <v>8.579999999999995</v>
      </c>
      <c r="BP325" s="55">
        <f t="shared" si="101"/>
        <v>8.839999999999995</v>
      </c>
      <c r="BQ325" s="55">
        <f t="shared" si="101"/>
        <v>9.099999999999994</v>
      </c>
      <c r="BR325" s="55">
        <f t="shared" si="101"/>
        <v>9.359999999999994</v>
      </c>
      <c r="BS325" s="55">
        <f t="shared" si="101"/>
        <v>9.619999999999994</v>
      </c>
      <c r="BT325" s="55">
        <f t="shared" si="101"/>
        <v>9.879999999999994</v>
      </c>
      <c r="BU325" s="55">
        <f t="shared" si="101"/>
        <v>10.139999999999993</v>
      </c>
    </row>
    <row r="326" spans="1:70" s="12" customFormat="1" ht="15.75" customHeight="1" outlineLevel="1">
      <c r="A326" s="139"/>
      <c r="B326" s="125" t="s">
        <v>590</v>
      </c>
      <c r="C326" s="65"/>
      <c r="D326" s="116"/>
      <c r="E326" s="37"/>
      <c r="F326" s="122"/>
      <c r="G326" s="105"/>
      <c r="H326" s="89">
        <f>SUBTOTAL(9,H295:H325)</f>
        <v>50.794</v>
      </c>
      <c r="I326" s="122"/>
      <c r="J326" s="54"/>
      <c r="K326" s="55"/>
      <c r="L326" s="62"/>
      <c r="M326" s="62"/>
      <c r="N326" s="97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1:70" s="12" customFormat="1" ht="15.75" customHeight="1" outlineLevel="1">
      <c r="A327" s="139"/>
      <c r="B327" s="40"/>
      <c r="C327" s="65"/>
      <c r="D327" s="139"/>
      <c r="E327" s="37"/>
      <c r="F327" s="122"/>
      <c r="G327" s="91"/>
      <c r="H327" s="89"/>
      <c r="I327" s="122"/>
      <c r="J327" s="54"/>
      <c r="K327" s="55"/>
      <c r="L327" s="62"/>
      <c r="M327" s="62"/>
      <c r="N327" s="97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1:70" s="3" customFormat="1" ht="15.75" customHeight="1" outlineLevel="1">
      <c r="A328" s="139"/>
      <c r="B328" s="43"/>
      <c r="C328" s="66"/>
      <c r="D328" s="139"/>
      <c r="E328" s="144"/>
      <c r="F328" s="141"/>
      <c r="G328" s="141"/>
      <c r="H328" s="139"/>
      <c r="I328" s="44"/>
      <c r="J328" s="54"/>
      <c r="K328" s="55"/>
      <c r="L328" s="62"/>
      <c r="M328" s="62"/>
      <c r="N328" s="97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1:70" s="3" customFormat="1" ht="15.75" customHeight="1" outlineLevel="1">
      <c r="A329" s="139"/>
      <c r="B329" s="43"/>
      <c r="C329" s="66"/>
      <c r="D329" s="139"/>
      <c r="E329" s="144"/>
      <c r="F329" s="141"/>
      <c r="G329" s="141"/>
      <c r="H329" s="139"/>
      <c r="I329" s="44"/>
      <c r="J329" s="54"/>
      <c r="K329" s="55"/>
      <c r="L329" s="62"/>
      <c r="M329" s="62"/>
      <c r="N329" s="97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1:39" s="2" customFormat="1" ht="15.75" customHeight="1" outlineLevel="2">
      <c r="A330" s="27">
        <v>1</v>
      </c>
      <c r="B330" s="141" t="s">
        <v>51</v>
      </c>
      <c r="C330" s="71" t="s">
        <v>149</v>
      </c>
      <c r="D330" s="139" t="s">
        <v>55</v>
      </c>
      <c r="E330" s="28" t="s">
        <v>18</v>
      </c>
      <c r="F330" s="142" t="s">
        <v>18</v>
      </c>
      <c r="G330" s="141" t="s">
        <v>28</v>
      </c>
      <c r="H330" s="139">
        <v>3.316</v>
      </c>
      <c r="I330" s="45">
        <v>0.7</v>
      </c>
      <c r="J330" s="55">
        <v>37</v>
      </c>
      <c r="K330" s="55">
        <f aca="true" t="shared" si="102" ref="K330:K393">(H330*I330*J330)</f>
        <v>85.88439999999999</v>
      </c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174">
        <f>(AH330+8.59)</f>
        <v>8.59</v>
      </c>
      <c r="AJ330" s="55">
        <f>(AI330+8.59)</f>
        <v>17.18</v>
      </c>
      <c r="AK330" s="55">
        <f>(AJ330+8.59)</f>
        <v>25.77</v>
      </c>
      <c r="AL330" s="55">
        <f>(AK330+8.59)</f>
        <v>34.36</v>
      </c>
      <c r="AM330" s="55">
        <f>(AL330+8.59)</f>
        <v>42.95</v>
      </c>
    </row>
    <row r="331" spans="1:39" ht="15.75" customHeight="1" outlineLevel="2">
      <c r="A331" s="27">
        <v>2</v>
      </c>
      <c r="B331" s="141" t="s">
        <v>51</v>
      </c>
      <c r="C331" s="66" t="s">
        <v>508</v>
      </c>
      <c r="D331" s="139" t="s">
        <v>57</v>
      </c>
      <c r="E331" s="144" t="s">
        <v>20</v>
      </c>
      <c r="F331" s="141" t="s">
        <v>20</v>
      </c>
      <c r="G331" s="141" t="s">
        <v>28</v>
      </c>
      <c r="H331" s="139">
        <v>7.142</v>
      </c>
      <c r="I331" s="44">
        <v>1.2</v>
      </c>
      <c r="J331" s="55">
        <v>37</v>
      </c>
      <c r="K331" s="55">
        <f t="shared" si="102"/>
        <v>317.10479999999995</v>
      </c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174"/>
      <c r="AJ331" s="55"/>
      <c r="AK331" s="55"/>
      <c r="AL331" s="55"/>
      <c r="AM331" s="55"/>
    </row>
    <row r="332" spans="1:39" ht="15.75" customHeight="1" outlineLevel="2">
      <c r="A332" s="27">
        <v>3</v>
      </c>
      <c r="B332" s="141" t="s">
        <v>51</v>
      </c>
      <c r="C332" s="66" t="s">
        <v>150</v>
      </c>
      <c r="D332" s="139" t="s">
        <v>58</v>
      </c>
      <c r="E332" s="144" t="s">
        <v>59</v>
      </c>
      <c r="F332" s="141" t="s">
        <v>59</v>
      </c>
      <c r="G332" s="141" t="s">
        <v>28</v>
      </c>
      <c r="H332" s="139">
        <v>1.844</v>
      </c>
      <c r="I332" s="44">
        <v>1.2</v>
      </c>
      <c r="J332" s="55">
        <v>37</v>
      </c>
      <c r="K332" s="55">
        <f t="shared" si="102"/>
        <v>81.87360000000001</v>
      </c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174"/>
      <c r="AJ332" s="55"/>
      <c r="AK332" s="55"/>
      <c r="AL332" s="55"/>
      <c r="AM332" s="55"/>
    </row>
    <row r="333" spans="1:70" s="1" customFormat="1" ht="15.75" customHeight="1" outlineLevel="2">
      <c r="A333" s="27">
        <v>4</v>
      </c>
      <c r="B333" s="141" t="s">
        <v>51</v>
      </c>
      <c r="C333" s="66" t="s">
        <v>148</v>
      </c>
      <c r="D333" s="139" t="s">
        <v>54</v>
      </c>
      <c r="E333" s="144" t="s">
        <v>52</v>
      </c>
      <c r="F333" s="141" t="s">
        <v>21</v>
      </c>
      <c r="G333" s="141" t="s">
        <v>28</v>
      </c>
      <c r="H333" s="139">
        <v>5.019</v>
      </c>
      <c r="I333" s="45">
        <v>0.7</v>
      </c>
      <c r="J333" s="55">
        <v>37</v>
      </c>
      <c r="K333" s="55">
        <f t="shared" si="102"/>
        <v>129.9921</v>
      </c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174">
        <f>(AH333+13)</f>
        <v>13</v>
      </c>
      <c r="AJ333" s="55">
        <f>(AI333+13)</f>
        <v>26</v>
      </c>
      <c r="AK333" s="55">
        <f>(AJ333+13)</f>
        <v>39</v>
      </c>
      <c r="AL333" s="55">
        <f>(AK333+13)</f>
        <v>52</v>
      </c>
      <c r="AM333" s="55">
        <f>(AL333+13)</f>
        <v>65</v>
      </c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1:34" s="59" customFormat="1" ht="15.75" customHeight="1" outlineLevel="1">
      <c r="A334" s="27"/>
      <c r="B334" s="125" t="s">
        <v>590</v>
      </c>
      <c r="C334" s="66"/>
      <c r="D334" s="139"/>
      <c r="E334" s="144"/>
      <c r="F334" s="141"/>
      <c r="G334" s="141"/>
      <c r="H334" s="88">
        <f>SUBTOTAL(9,H330:H333)</f>
        <v>17.320999999999998</v>
      </c>
      <c r="I334" s="44"/>
      <c r="J334" s="54"/>
      <c r="K334" s="55"/>
      <c r="L334" s="62"/>
      <c r="M334" s="62"/>
      <c r="N334" s="97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</row>
    <row r="335" spans="1:70" s="1" customFormat="1" ht="15.75" customHeight="1" outlineLevel="1">
      <c r="A335" s="27"/>
      <c r="B335" s="43"/>
      <c r="C335" s="66"/>
      <c r="D335" s="139"/>
      <c r="E335" s="144"/>
      <c r="F335" s="141"/>
      <c r="G335" s="141"/>
      <c r="H335" s="88"/>
      <c r="I335" s="44"/>
      <c r="J335" s="54"/>
      <c r="K335" s="55"/>
      <c r="L335" s="62"/>
      <c r="M335" s="62"/>
      <c r="N335" s="97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1:70" s="1" customFormat="1" ht="15.75" customHeight="1" outlineLevel="1">
      <c r="A336" s="27"/>
      <c r="B336" s="43"/>
      <c r="C336" s="66"/>
      <c r="D336" s="139"/>
      <c r="E336" s="144"/>
      <c r="F336" s="141"/>
      <c r="G336" s="141"/>
      <c r="H336" s="139"/>
      <c r="I336" s="44"/>
      <c r="J336" s="54"/>
      <c r="K336" s="55"/>
      <c r="L336" s="62"/>
      <c r="M336" s="62"/>
      <c r="N336" s="97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1:11" ht="15.75" customHeight="1" outlineLevel="1">
      <c r="A337" s="27"/>
      <c r="B337" s="141"/>
      <c r="C337" s="66"/>
      <c r="D337" s="139"/>
      <c r="E337" s="144"/>
      <c r="F337" s="141"/>
      <c r="G337" s="141"/>
      <c r="H337" s="139"/>
      <c r="I337" s="44"/>
      <c r="J337" s="54"/>
      <c r="K337" s="55"/>
    </row>
    <row r="338" spans="1:25" ht="15.75" customHeight="1" outlineLevel="2">
      <c r="A338" s="139">
        <v>1</v>
      </c>
      <c r="B338" s="141" t="s">
        <v>60</v>
      </c>
      <c r="C338" s="39" t="s">
        <v>266</v>
      </c>
      <c r="D338" s="27" t="s">
        <v>10</v>
      </c>
      <c r="E338" s="37" t="s">
        <v>11</v>
      </c>
      <c r="F338" s="35" t="s">
        <v>11</v>
      </c>
      <c r="G338" s="36" t="s">
        <v>28</v>
      </c>
      <c r="H338" s="39">
        <v>1.028</v>
      </c>
      <c r="I338" s="49">
        <v>1.2</v>
      </c>
      <c r="J338" s="55">
        <v>39</v>
      </c>
      <c r="K338" s="55">
        <f t="shared" si="102"/>
        <v>48.1104</v>
      </c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</row>
    <row r="339" spans="1:70" s="3" customFormat="1" ht="15.75" customHeight="1" outlineLevel="2">
      <c r="A339" s="139">
        <v>2</v>
      </c>
      <c r="B339" s="141" t="s">
        <v>60</v>
      </c>
      <c r="C339" s="69" t="s">
        <v>152</v>
      </c>
      <c r="D339" s="27" t="s">
        <v>10</v>
      </c>
      <c r="E339" s="28" t="s">
        <v>11</v>
      </c>
      <c r="F339" s="35" t="s">
        <v>11</v>
      </c>
      <c r="G339" s="36" t="s">
        <v>28</v>
      </c>
      <c r="H339" s="76">
        <v>14.761</v>
      </c>
      <c r="I339" s="45">
        <v>1.2</v>
      </c>
      <c r="J339" s="55">
        <v>39</v>
      </c>
      <c r="K339" s="55">
        <f t="shared" si="102"/>
        <v>690.8147999999999</v>
      </c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18"/>
      <c r="AH339" s="18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1:25" ht="15.75" customHeight="1" outlineLevel="2">
      <c r="A340" s="139">
        <v>3</v>
      </c>
      <c r="B340" s="141" t="s">
        <v>60</v>
      </c>
      <c r="C340" s="69" t="s">
        <v>153</v>
      </c>
      <c r="D340" s="27" t="s">
        <v>10</v>
      </c>
      <c r="E340" s="28" t="s">
        <v>11</v>
      </c>
      <c r="F340" s="35" t="s">
        <v>11</v>
      </c>
      <c r="G340" s="36" t="s">
        <v>28</v>
      </c>
      <c r="H340" s="76">
        <v>4.043</v>
      </c>
      <c r="I340" s="49">
        <v>1.2</v>
      </c>
      <c r="J340" s="55">
        <v>39</v>
      </c>
      <c r="K340" s="55">
        <f t="shared" si="102"/>
        <v>189.2124</v>
      </c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</row>
    <row r="341" spans="1:70" s="1" customFormat="1" ht="15.75" customHeight="1" outlineLevel="2">
      <c r="A341" s="139">
        <v>4</v>
      </c>
      <c r="B341" s="141" t="s">
        <v>60</v>
      </c>
      <c r="C341" s="39" t="s">
        <v>267</v>
      </c>
      <c r="D341" s="27" t="s">
        <v>10</v>
      </c>
      <c r="E341" s="37" t="s">
        <v>11</v>
      </c>
      <c r="F341" s="35" t="s">
        <v>11</v>
      </c>
      <c r="G341" s="36" t="s">
        <v>28</v>
      </c>
      <c r="H341" s="39">
        <v>1.629</v>
      </c>
      <c r="I341" s="49">
        <v>1.2</v>
      </c>
      <c r="J341" s="55">
        <v>39</v>
      </c>
      <c r="K341" s="55">
        <f t="shared" si="102"/>
        <v>76.2372</v>
      </c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18"/>
      <c r="AA341" s="18"/>
      <c r="AB341" s="18"/>
      <c r="AC341" s="18"/>
      <c r="AD341" s="18"/>
      <c r="AE341" s="18"/>
      <c r="AF341" s="18"/>
      <c r="AG341" s="18"/>
      <c r="AH341" s="18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1:70" s="3" customFormat="1" ht="15.75" customHeight="1" outlineLevel="2">
      <c r="A342" s="139">
        <v>5</v>
      </c>
      <c r="B342" s="141" t="s">
        <v>60</v>
      </c>
      <c r="C342" s="39" t="s">
        <v>268</v>
      </c>
      <c r="D342" s="27" t="s">
        <v>10</v>
      </c>
      <c r="E342" s="37" t="s">
        <v>11</v>
      </c>
      <c r="F342" s="35" t="s">
        <v>11</v>
      </c>
      <c r="G342" s="36" t="s">
        <v>28</v>
      </c>
      <c r="H342" s="39">
        <v>1.187</v>
      </c>
      <c r="I342" s="49">
        <v>1.2</v>
      </c>
      <c r="J342" s="55">
        <v>39</v>
      </c>
      <c r="K342" s="55">
        <f t="shared" si="102"/>
        <v>55.55160000000001</v>
      </c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18"/>
      <c r="AA342" s="18"/>
      <c r="AB342" s="18"/>
      <c r="AC342" s="18"/>
      <c r="AD342" s="18"/>
      <c r="AE342" s="18"/>
      <c r="AF342" s="18"/>
      <c r="AG342" s="18"/>
      <c r="AH342" s="18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1:70" s="12" customFormat="1" ht="15.75" customHeight="1" outlineLevel="2">
      <c r="A343" s="139">
        <v>6</v>
      </c>
      <c r="B343" s="141" t="s">
        <v>60</v>
      </c>
      <c r="C343" s="39" t="s">
        <v>269</v>
      </c>
      <c r="D343" s="27" t="s">
        <v>10</v>
      </c>
      <c r="E343" s="37" t="s">
        <v>11</v>
      </c>
      <c r="F343" s="35" t="s">
        <v>11</v>
      </c>
      <c r="G343" s="38" t="s">
        <v>28</v>
      </c>
      <c r="H343" s="39">
        <v>3.856</v>
      </c>
      <c r="I343" s="49">
        <v>1.2</v>
      </c>
      <c r="J343" s="55">
        <v>39</v>
      </c>
      <c r="K343" s="55">
        <f t="shared" si="102"/>
        <v>180.46079999999998</v>
      </c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18"/>
      <c r="AA343" s="18"/>
      <c r="AB343" s="18"/>
      <c r="AC343" s="18"/>
      <c r="AD343" s="18"/>
      <c r="AE343" s="18"/>
      <c r="AF343" s="18"/>
      <c r="AG343" s="18"/>
      <c r="AH343" s="18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1:70" s="12" customFormat="1" ht="15.75" customHeight="1" outlineLevel="2">
      <c r="A344" s="139">
        <v>7</v>
      </c>
      <c r="B344" s="141" t="s">
        <v>60</v>
      </c>
      <c r="C344" s="39" t="s">
        <v>270</v>
      </c>
      <c r="D344" s="27" t="s">
        <v>10</v>
      </c>
      <c r="E344" s="37" t="s">
        <v>11</v>
      </c>
      <c r="F344" s="35" t="s">
        <v>11</v>
      </c>
      <c r="G344" s="38" t="s">
        <v>28</v>
      </c>
      <c r="H344" s="39">
        <v>3.89</v>
      </c>
      <c r="I344" s="49">
        <v>1.2</v>
      </c>
      <c r="J344" s="55">
        <v>39</v>
      </c>
      <c r="K344" s="55">
        <f t="shared" si="102"/>
        <v>182.052</v>
      </c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18"/>
      <c r="AA344" s="18"/>
      <c r="AB344" s="18"/>
      <c r="AC344" s="18"/>
      <c r="AD344" s="18"/>
      <c r="AE344" s="18"/>
      <c r="AF344" s="18"/>
      <c r="AG344" s="18"/>
      <c r="AH344" s="18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1:70" s="12" customFormat="1" ht="15.75" customHeight="1" outlineLevel="2">
      <c r="A345" s="139">
        <v>8</v>
      </c>
      <c r="B345" s="141" t="s">
        <v>60</v>
      </c>
      <c r="C345" s="39" t="s">
        <v>369</v>
      </c>
      <c r="D345" s="27" t="s">
        <v>10</v>
      </c>
      <c r="E345" s="37" t="s">
        <v>11</v>
      </c>
      <c r="F345" s="35" t="s">
        <v>11</v>
      </c>
      <c r="G345" s="38" t="s">
        <v>28</v>
      </c>
      <c r="H345" s="39">
        <v>0.655</v>
      </c>
      <c r="I345" s="49">
        <v>1</v>
      </c>
      <c r="J345" s="55">
        <v>39</v>
      </c>
      <c r="K345" s="55">
        <f t="shared" si="102"/>
        <v>25.545</v>
      </c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18"/>
      <c r="AA345" s="18"/>
      <c r="AB345" s="18"/>
      <c r="AC345" s="18"/>
      <c r="AD345" s="18"/>
      <c r="AE345" s="18"/>
      <c r="AF345" s="18"/>
      <c r="AG345" s="18"/>
      <c r="AH345" s="18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1:70" s="12" customFormat="1" ht="15.75" customHeight="1" outlineLevel="2">
      <c r="A346" s="139">
        <v>9</v>
      </c>
      <c r="B346" s="141" t="s">
        <v>60</v>
      </c>
      <c r="C346" s="39" t="s">
        <v>271</v>
      </c>
      <c r="D346" s="27" t="s">
        <v>10</v>
      </c>
      <c r="E346" s="37" t="s">
        <v>11</v>
      </c>
      <c r="F346" s="35" t="s">
        <v>11</v>
      </c>
      <c r="G346" s="38" t="s">
        <v>28</v>
      </c>
      <c r="H346" s="39">
        <v>1.326</v>
      </c>
      <c r="I346" s="49">
        <v>1.2</v>
      </c>
      <c r="J346" s="55">
        <v>39</v>
      </c>
      <c r="K346" s="55">
        <f t="shared" si="102"/>
        <v>62.056799999999996</v>
      </c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18"/>
      <c r="AA346" s="18"/>
      <c r="AB346" s="18"/>
      <c r="AC346" s="18"/>
      <c r="AD346" s="18"/>
      <c r="AE346" s="18"/>
      <c r="AF346" s="18"/>
      <c r="AG346" s="18"/>
      <c r="AH346" s="18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1:70" s="12" customFormat="1" ht="15.75" customHeight="1" outlineLevel="2">
      <c r="A347" s="139">
        <v>10</v>
      </c>
      <c r="B347" s="141" t="s">
        <v>60</v>
      </c>
      <c r="C347" s="39" t="s">
        <v>272</v>
      </c>
      <c r="D347" s="27" t="s">
        <v>10</v>
      </c>
      <c r="E347" s="37" t="s">
        <v>11</v>
      </c>
      <c r="F347" s="35" t="s">
        <v>11</v>
      </c>
      <c r="G347" s="38" t="s">
        <v>28</v>
      </c>
      <c r="H347" s="39">
        <v>1.248</v>
      </c>
      <c r="I347" s="49">
        <v>1.2</v>
      </c>
      <c r="J347" s="55">
        <v>39</v>
      </c>
      <c r="K347" s="55">
        <f t="shared" si="102"/>
        <v>58.406400000000005</v>
      </c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18"/>
      <c r="AA347" s="18"/>
      <c r="AB347" s="18"/>
      <c r="AC347" s="18"/>
      <c r="AD347" s="18"/>
      <c r="AE347" s="18"/>
      <c r="AF347" s="18"/>
      <c r="AG347" s="18"/>
      <c r="AH347" s="18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1:70" s="12" customFormat="1" ht="15.75" customHeight="1" outlineLevel="2">
      <c r="A348" s="139">
        <v>11</v>
      </c>
      <c r="B348" s="141" t="s">
        <v>60</v>
      </c>
      <c r="C348" s="39" t="s">
        <v>273</v>
      </c>
      <c r="D348" s="27" t="s">
        <v>10</v>
      </c>
      <c r="E348" s="37" t="s">
        <v>11</v>
      </c>
      <c r="F348" s="35" t="s">
        <v>11</v>
      </c>
      <c r="G348" s="38" t="s">
        <v>28</v>
      </c>
      <c r="H348" s="39">
        <v>1.141</v>
      </c>
      <c r="I348" s="49">
        <v>1.2</v>
      </c>
      <c r="J348" s="55">
        <v>39</v>
      </c>
      <c r="K348" s="55">
        <f t="shared" si="102"/>
        <v>53.3988</v>
      </c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18"/>
      <c r="AA348" s="18"/>
      <c r="AB348" s="18"/>
      <c r="AC348" s="18"/>
      <c r="AD348" s="18"/>
      <c r="AE348" s="18"/>
      <c r="AF348" s="18"/>
      <c r="AG348" s="18"/>
      <c r="AH348" s="18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1:70" s="12" customFormat="1" ht="15.75" customHeight="1" outlineLevel="2">
      <c r="A349" s="139">
        <v>12</v>
      </c>
      <c r="B349" s="141" t="s">
        <v>60</v>
      </c>
      <c r="C349" s="39" t="s">
        <v>274</v>
      </c>
      <c r="D349" s="27" t="s">
        <v>10</v>
      </c>
      <c r="E349" s="37" t="s">
        <v>11</v>
      </c>
      <c r="F349" s="35" t="s">
        <v>11</v>
      </c>
      <c r="G349" s="38" t="s">
        <v>28</v>
      </c>
      <c r="H349" s="39">
        <v>1.374</v>
      </c>
      <c r="I349" s="49">
        <v>1.2</v>
      </c>
      <c r="J349" s="55">
        <v>39</v>
      </c>
      <c r="K349" s="55">
        <f t="shared" si="102"/>
        <v>64.3032</v>
      </c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18"/>
      <c r="AA349" s="18"/>
      <c r="AB349" s="18"/>
      <c r="AC349" s="18"/>
      <c r="AD349" s="18"/>
      <c r="AE349" s="18"/>
      <c r="AF349" s="18"/>
      <c r="AG349" s="18"/>
      <c r="AH349" s="18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1:70" s="12" customFormat="1" ht="15.75" customHeight="1" outlineLevel="2">
      <c r="A350" s="139">
        <v>13</v>
      </c>
      <c r="B350" s="141" t="s">
        <v>60</v>
      </c>
      <c r="C350" s="69" t="s">
        <v>154</v>
      </c>
      <c r="D350" s="27" t="s">
        <v>10</v>
      </c>
      <c r="E350" s="28" t="s">
        <v>11</v>
      </c>
      <c r="F350" s="35" t="s">
        <v>11</v>
      </c>
      <c r="G350" s="38" t="s">
        <v>28</v>
      </c>
      <c r="H350" s="76">
        <v>6.813</v>
      </c>
      <c r="I350" s="49">
        <v>1.2</v>
      </c>
      <c r="J350" s="55">
        <v>39</v>
      </c>
      <c r="K350" s="55">
        <f t="shared" si="102"/>
        <v>318.84839999999997</v>
      </c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18"/>
      <c r="AA350" s="18"/>
      <c r="AB350" s="18"/>
      <c r="AC350" s="18"/>
      <c r="AD350" s="18"/>
      <c r="AE350" s="18"/>
      <c r="AF350" s="18"/>
      <c r="AG350" s="18"/>
      <c r="AH350" s="18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1:70" s="12" customFormat="1" ht="15.75" customHeight="1" outlineLevel="2">
      <c r="A351" s="139">
        <v>14</v>
      </c>
      <c r="B351" s="141" t="s">
        <v>60</v>
      </c>
      <c r="C351" s="39" t="s">
        <v>275</v>
      </c>
      <c r="D351" s="27" t="s">
        <v>10</v>
      </c>
      <c r="E351" s="37" t="s">
        <v>11</v>
      </c>
      <c r="F351" s="35" t="s">
        <v>11</v>
      </c>
      <c r="G351" s="38" t="s">
        <v>28</v>
      </c>
      <c r="H351" s="39">
        <v>1.136</v>
      </c>
      <c r="I351" s="49">
        <v>1.2</v>
      </c>
      <c r="J351" s="55">
        <v>39</v>
      </c>
      <c r="K351" s="55">
        <f t="shared" si="102"/>
        <v>53.16479999999999</v>
      </c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18"/>
      <c r="AA351" s="18"/>
      <c r="AB351" s="18"/>
      <c r="AC351" s="18"/>
      <c r="AD351" s="18"/>
      <c r="AE351" s="18"/>
      <c r="AF351" s="18"/>
      <c r="AG351" s="18"/>
      <c r="AH351" s="18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1:70" s="12" customFormat="1" ht="15.75" customHeight="1" outlineLevel="2">
      <c r="A352" s="139">
        <v>15</v>
      </c>
      <c r="B352" s="141" t="s">
        <v>60</v>
      </c>
      <c r="C352" s="39" t="s">
        <v>276</v>
      </c>
      <c r="D352" s="27" t="s">
        <v>10</v>
      </c>
      <c r="E352" s="37" t="s">
        <v>11</v>
      </c>
      <c r="F352" s="35" t="s">
        <v>11</v>
      </c>
      <c r="G352" s="38" t="s">
        <v>28</v>
      </c>
      <c r="H352" s="39">
        <v>1.189</v>
      </c>
      <c r="I352" s="49">
        <v>1.2</v>
      </c>
      <c r="J352" s="55">
        <v>39</v>
      </c>
      <c r="K352" s="55">
        <f t="shared" si="102"/>
        <v>55.6452</v>
      </c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18"/>
      <c r="AA352" s="18"/>
      <c r="AB352" s="18"/>
      <c r="AC352" s="18"/>
      <c r="AD352" s="18"/>
      <c r="AE352" s="18"/>
      <c r="AF352" s="18"/>
      <c r="AG352" s="18"/>
      <c r="AH352" s="18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1:70" s="12" customFormat="1" ht="15.75" customHeight="1" outlineLevel="2">
      <c r="A353" s="139">
        <v>16</v>
      </c>
      <c r="B353" s="141" t="s">
        <v>60</v>
      </c>
      <c r="C353" s="39" t="s">
        <v>277</v>
      </c>
      <c r="D353" s="27" t="s">
        <v>10</v>
      </c>
      <c r="E353" s="37" t="s">
        <v>11</v>
      </c>
      <c r="F353" s="35" t="s">
        <v>11</v>
      </c>
      <c r="G353" s="38" t="s">
        <v>28</v>
      </c>
      <c r="H353" s="39">
        <v>1.381</v>
      </c>
      <c r="I353" s="49">
        <v>1.2</v>
      </c>
      <c r="J353" s="55">
        <v>39</v>
      </c>
      <c r="K353" s="55">
        <f t="shared" si="102"/>
        <v>64.6308</v>
      </c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18"/>
      <c r="AA353" s="18"/>
      <c r="AB353" s="18"/>
      <c r="AC353" s="18"/>
      <c r="AD353" s="18"/>
      <c r="AE353" s="18"/>
      <c r="AF353" s="18"/>
      <c r="AG353" s="18"/>
      <c r="AH353" s="18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1:70" s="12" customFormat="1" ht="15.75" customHeight="1" outlineLevel="2">
      <c r="A354" s="139">
        <v>17</v>
      </c>
      <c r="B354" s="141" t="s">
        <v>60</v>
      </c>
      <c r="C354" s="39" t="s">
        <v>278</v>
      </c>
      <c r="D354" s="27" t="s">
        <v>10</v>
      </c>
      <c r="E354" s="37" t="s">
        <v>11</v>
      </c>
      <c r="F354" s="35" t="s">
        <v>11</v>
      </c>
      <c r="G354" s="38" t="s">
        <v>28</v>
      </c>
      <c r="H354" s="39">
        <v>1.269</v>
      </c>
      <c r="I354" s="49">
        <v>1.2</v>
      </c>
      <c r="J354" s="55">
        <v>39</v>
      </c>
      <c r="K354" s="55">
        <f t="shared" si="102"/>
        <v>59.389199999999995</v>
      </c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18"/>
      <c r="AA354" s="18"/>
      <c r="AB354" s="18"/>
      <c r="AC354" s="18"/>
      <c r="AD354" s="18"/>
      <c r="AE354" s="18"/>
      <c r="AF354" s="18"/>
      <c r="AG354" s="18"/>
      <c r="AH354" s="18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1:70" s="12" customFormat="1" ht="15.75" customHeight="1" outlineLevel="2">
      <c r="A355" s="139">
        <v>18</v>
      </c>
      <c r="B355" s="141" t="s">
        <v>60</v>
      </c>
      <c r="C355" s="39" t="s">
        <v>279</v>
      </c>
      <c r="D355" s="27" t="s">
        <v>10</v>
      </c>
      <c r="E355" s="37" t="s">
        <v>11</v>
      </c>
      <c r="F355" s="35" t="s">
        <v>11</v>
      </c>
      <c r="G355" s="38" t="s">
        <v>28</v>
      </c>
      <c r="H355" s="39">
        <v>2.386</v>
      </c>
      <c r="I355" s="49">
        <v>1.2</v>
      </c>
      <c r="J355" s="55">
        <v>39</v>
      </c>
      <c r="K355" s="55">
        <f t="shared" si="102"/>
        <v>111.6648</v>
      </c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18"/>
      <c r="AA355" s="18"/>
      <c r="AB355" s="18"/>
      <c r="AC355" s="18"/>
      <c r="AD355" s="18"/>
      <c r="AE355" s="18"/>
      <c r="AF355" s="18"/>
      <c r="AG355" s="18"/>
      <c r="AH355" s="18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1:70" s="12" customFormat="1" ht="15.75" customHeight="1" outlineLevel="2">
      <c r="A356" s="139">
        <v>19</v>
      </c>
      <c r="B356" s="141" t="s">
        <v>60</v>
      </c>
      <c r="C356" s="39" t="s">
        <v>280</v>
      </c>
      <c r="D356" s="27" t="s">
        <v>10</v>
      </c>
      <c r="E356" s="37" t="s">
        <v>11</v>
      </c>
      <c r="F356" s="35" t="s">
        <v>11</v>
      </c>
      <c r="G356" s="38" t="s">
        <v>28</v>
      </c>
      <c r="H356" s="39">
        <v>1.38</v>
      </c>
      <c r="I356" s="49">
        <v>1.2</v>
      </c>
      <c r="J356" s="55">
        <v>39</v>
      </c>
      <c r="K356" s="55">
        <f t="shared" si="102"/>
        <v>64.584</v>
      </c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18"/>
      <c r="AA356" s="18"/>
      <c r="AB356" s="18"/>
      <c r="AC356" s="18"/>
      <c r="AD356" s="18"/>
      <c r="AE356" s="18"/>
      <c r="AF356" s="18"/>
      <c r="AG356" s="18"/>
      <c r="AH356" s="18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1:70" s="12" customFormat="1" ht="15.75" customHeight="1" outlineLevel="2">
      <c r="A357" s="139">
        <v>20</v>
      </c>
      <c r="B357" s="141" t="s">
        <v>60</v>
      </c>
      <c r="C357" s="39" t="s">
        <v>281</v>
      </c>
      <c r="D357" s="27" t="s">
        <v>10</v>
      </c>
      <c r="E357" s="37" t="s">
        <v>11</v>
      </c>
      <c r="F357" s="35" t="s">
        <v>11</v>
      </c>
      <c r="G357" s="38" t="s">
        <v>28</v>
      </c>
      <c r="H357" s="39">
        <v>1.653</v>
      </c>
      <c r="I357" s="49">
        <v>1.2</v>
      </c>
      <c r="J357" s="55">
        <v>39</v>
      </c>
      <c r="K357" s="55">
        <f t="shared" si="102"/>
        <v>77.3604</v>
      </c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18"/>
      <c r="AA357" s="18"/>
      <c r="AB357" s="18"/>
      <c r="AC357" s="18"/>
      <c r="AD357" s="18"/>
      <c r="AE357" s="18"/>
      <c r="AF357" s="18"/>
      <c r="AG357" s="18"/>
      <c r="AH357" s="18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1:70" s="12" customFormat="1" ht="15.75" customHeight="1" outlineLevel="2">
      <c r="A358" s="139">
        <v>21</v>
      </c>
      <c r="B358" s="141" t="s">
        <v>60</v>
      </c>
      <c r="C358" s="39" t="s">
        <v>282</v>
      </c>
      <c r="D358" s="27" t="s">
        <v>10</v>
      </c>
      <c r="E358" s="37" t="s">
        <v>11</v>
      </c>
      <c r="F358" s="35" t="s">
        <v>11</v>
      </c>
      <c r="G358" s="38" t="s">
        <v>28</v>
      </c>
      <c r="H358" s="39">
        <v>1.358</v>
      </c>
      <c r="I358" s="49">
        <v>1.2</v>
      </c>
      <c r="J358" s="55">
        <v>39</v>
      </c>
      <c r="K358" s="55">
        <f t="shared" si="102"/>
        <v>63.55440000000001</v>
      </c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18"/>
      <c r="AA358" s="18"/>
      <c r="AB358" s="18"/>
      <c r="AC358" s="18"/>
      <c r="AD358" s="18"/>
      <c r="AE358" s="18"/>
      <c r="AF358" s="18"/>
      <c r="AG358" s="18"/>
      <c r="AH358" s="18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1:70" s="12" customFormat="1" ht="15.75" customHeight="1" outlineLevel="2">
      <c r="A359" s="139">
        <v>22</v>
      </c>
      <c r="B359" s="141" t="s">
        <v>60</v>
      </c>
      <c r="C359" s="39" t="s">
        <v>283</v>
      </c>
      <c r="D359" s="27" t="s">
        <v>10</v>
      </c>
      <c r="E359" s="37" t="s">
        <v>11</v>
      </c>
      <c r="F359" s="35" t="s">
        <v>11</v>
      </c>
      <c r="G359" s="38" t="s">
        <v>28</v>
      </c>
      <c r="H359" s="39">
        <v>1.028</v>
      </c>
      <c r="I359" s="49">
        <v>1.2</v>
      </c>
      <c r="J359" s="55">
        <v>39</v>
      </c>
      <c r="K359" s="55">
        <f t="shared" si="102"/>
        <v>48.1104</v>
      </c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18"/>
      <c r="AA359" s="18"/>
      <c r="AB359" s="18"/>
      <c r="AC359" s="18"/>
      <c r="AD359" s="18"/>
      <c r="AE359" s="18"/>
      <c r="AF359" s="18"/>
      <c r="AG359" s="18"/>
      <c r="AH359" s="18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1:70" s="12" customFormat="1" ht="15.75" customHeight="1" outlineLevel="2">
      <c r="A360" s="139">
        <v>23</v>
      </c>
      <c r="B360" s="141" t="s">
        <v>60</v>
      </c>
      <c r="C360" s="39" t="s">
        <v>284</v>
      </c>
      <c r="D360" s="27" t="s">
        <v>10</v>
      </c>
      <c r="E360" s="37" t="s">
        <v>11</v>
      </c>
      <c r="F360" s="35" t="s">
        <v>11</v>
      </c>
      <c r="G360" s="38" t="s">
        <v>28</v>
      </c>
      <c r="H360" s="39">
        <v>1.114</v>
      </c>
      <c r="I360" s="49">
        <v>1.2</v>
      </c>
      <c r="J360" s="55">
        <v>39</v>
      </c>
      <c r="K360" s="55">
        <f t="shared" si="102"/>
        <v>52.1352</v>
      </c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18"/>
      <c r="AA360" s="18"/>
      <c r="AB360" s="18"/>
      <c r="AC360" s="18"/>
      <c r="AD360" s="18"/>
      <c r="AE360" s="18"/>
      <c r="AF360" s="18"/>
      <c r="AG360" s="18"/>
      <c r="AH360" s="18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1:70" s="12" customFormat="1" ht="15.75" customHeight="1" outlineLevel="2">
      <c r="A361" s="139">
        <v>24</v>
      </c>
      <c r="B361" s="141" t="s">
        <v>60</v>
      </c>
      <c r="C361" s="39" t="s">
        <v>285</v>
      </c>
      <c r="D361" s="27" t="s">
        <v>10</v>
      </c>
      <c r="E361" s="37" t="s">
        <v>11</v>
      </c>
      <c r="F361" s="35" t="s">
        <v>11</v>
      </c>
      <c r="G361" s="38" t="s">
        <v>28</v>
      </c>
      <c r="H361" s="39">
        <v>1.395</v>
      </c>
      <c r="I361" s="49">
        <v>1.2</v>
      </c>
      <c r="J361" s="55">
        <v>39</v>
      </c>
      <c r="K361" s="55">
        <f t="shared" si="102"/>
        <v>65.286</v>
      </c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18"/>
      <c r="AA361" s="18"/>
      <c r="AB361" s="18"/>
      <c r="AC361" s="18"/>
      <c r="AD361" s="18"/>
      <c r="AE361" s="18"/>
      <c r="AF361" s="18"/>
      <c r="AG361" s="18"/>
      <c r="AH361" s="18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1:70" s="12" customFormat="1" ht="15.75" customHeight="1" outlineLevel="2">
      <c r="A362" s="139">
        <v>25</v>
      </c>
      <c r="B362" s="141" t="s">
        <v>60</v>
      </c>
      <c r="C362" s="39" t="s">
        <v>286</v>
      </c>
      <c r="D362" s="27" t="s">
        <v>10</v>
      </c>
      <c r="E362" s="37" t="s">
        <v>11</v>
      </c>
      <c r="F362" s="35" t="s">
        <v>11</v>
      </c>
      <c r="G362" s="38" t="s">
        <v>28</v>
      </c>
      <c r="H362" s="39">
        <v>2.778</v>
      </c>
      <c r="I362" s="49">
        <v>1.2</v>
      </c>
      <c r="J362" s="55">
        <v>39</v>
      </c>
      <c r="K362" s="55">
        <f t="shared" si="102"/>
        <v>130.0104</v>
      </c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18"/>
      <c r="AA362" s="18"/>
      <c r="AB362" s="18"/>
      <c r="AC362" s="18"/>
      <c r="AD362" s="18"/>
      <c r="AE362" s="18"/>
      <c r="AF362" s="18"/>
      <c r="AG362" s="18"/>
      <c r="AH362" s="18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1:70" s="12" customFormat="1" ht="15.75" customHeight="1" outlineLevel="2">
      <c r="A363" s="139">
        <v>26</v>
      </c>
      <c r="B363" s="41" t="s">
        <v>60</v>
      </c>
      <c r="C363" s="27" t="s">
        <v>444</v>
      </c>
      <c r="D363" s="27" t="s">
        <v>445</v>
      </c>
      <c r="E363" s="41" t="s">
        <v>11</v>
      </c>
      <c r="F363" s="35" t="s">
        <v>11</v>
      </c>
      <c r="G363" s="38" t="s">
        <v>28</v>
      </c>
      <c r="H363" s="27">
        <v>10.597</v>
      </c>
      <c r="I363" s="45">
        <v>1.2</v>
      </c>
      <c r="J363" s="55">
        <v>39</v>
      </c>
      <c r="K363" s="55">
        <f t="shared" si="102"/>
        <v>495.9395999999999</v>
      </c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18"/>
      <c r="AA363" s="18"/>
      <c r="AB363" s="18"/>
      <c r="AC363" s="18"/>
      <c r="AD363" s="18"/>
      <c r="AE363" s="18"/>
      <c r="AF363" s="18"/>
      <c r="AG363" s="18"/>
      <c r="AH363" s="18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1:70" s="12" customFormat="1" ht="15.75" customHeight="1" outlineLevel="2">
      <c r="A364" s="139">
        <v>27</v>
      </c>
      <c r="B364" s="141" t="s">
        <v>60</v>
      </c>
      <c r="C364" s="39" t="s">
        <v>287</v>
      </c>
      <c r="D364" s="27" t="s">
        <v>10</v>
      </c>
      <c r="E364" s="37" t="s">
        <v>11</v>
      </c>
      <c r="F364" s="35" t="s">
        <v>11</v>
      </c>
      <c r="G364" s="38" t="s">
        <v>28</v>
      </c>
      <c r="H364" s="39">
        <v>3.308</v>
      </c>
      <c r="I364" s="49">
        <v>1.2</v>
      </c>
      <c r="J364" s="55">
        <v>39</v>
      </c>
      <c r="K364" s="55">
        <f t="shared" si="102"/>
        <v>154.81439999999998</v>
      </c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18"/>
      <c r="AA364" s="18"/>
      <c r="AB364" s="18"/>
      <c r="AC364" s="18"/>
      <c r="AD364" s="18"/>
      <c r="AE364" s="18"/>
      <c r="AF364" s="18"/>
      <c r="AG364" s="18"/>
      <c r="AH364" s="18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1:70" s="12" customFormat="1" ht="15.75" customHeight="1" outlineLevel="2">
      <c r="A365" s="139">
        <v>28</v>
      </c>
      <c r="B365" s="141" t="s">
        <v>60</v>
      </c>
      <c r="C365" s="39" t="s">
        <v>288</v>
      </c>
      <c r="D365" s="27" t="s">
        <v>10</v>
      </c>
      <c r="E365" s="37" t="s">
        <v>11</v>
      </c>
      <c r="F365" s="35" t="s">
        <v>11</v>
      </c>
      <c r="G365" s="38" t="s">
        <v>28</v>
      </c>
      <c r="H365" s="39">
        <v>2.605</v>
      </c>
      <c r="I365" s="49">
        <v>1.2</v>
      </c>
      <c r="J365" s="55">
        <v>39</v>
      </c>
      <c r="K365" s="55">
        <f t="shared" si="102"/>
        <v>121.914</v>
      </c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18"/>
      <c r="AA365" s="18"/>
      <c r="AB365" s="18"/>
      <c r="AC365" s="18"/>
      <c r="AD365" s="18"/>
      <c r="AE365" s="18"/>
      <c r="AF365" s="18"/>
      <c r="AG365" s="18"/>
      <c r="AH365" s="18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1:70" s="12" customFormat="1" ht="15.75" customHeight="1" outlineLevel="2">
      <c r="A366" s="139">
        <v>29</v>
      </c>
      <c r="B366" s="141" t="s">
        <v>60</v>
      </c>
      <c r="C366" s="39" t="s">
        <v>289</v>
      </c>
      <c r="D366" s="27" t="s">
        <v>10</v>
      </c>
      <c r="E366" s="37" t="s">
        <v>11</v>
      </c>
      <c r="F366" s="35" t="s">
        <v>11</v>
      </c>
      <c r="G366" s="38" t="s">
        <v>28</v>
      </c>
      <c r="H366" s="39">
        <v>1.717</v>
      </c>
      <c r="I366" s="49">
        <v>1.2</v>
      </c>
      <c r="J366" s="55">
        <v>39</v>
      </c>
      <c r="K366" s="55">
        <f t="shared" si="102"/>
        <v>80.3556</v>
      </c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18"/>
      <c r="AA366" s="18"/>
      <c r="AB366" s="18"/>
      <c r="AC366" s="18"/>
      <c r="AD366" s="18"/>
      <c r="AE366" s="18"/>
      <c r="AF366" s="18"/>
      <c r="AG366" s="18"/>
      <c r="AH366" s="18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1:70" s="12" customFormat="1" ht="15.75" customHeight="1" outlineLevel="2">
      <c r="A367" s="139">
        <v>30</v>
      </c>
      <c r="B367" s="141" t="s">
        <v>60</v>
      </c>
      <c r="C367" s="39" t="s">
        <v>290</v>
      </c>
      <c r="D367" s="27" t="s">
        <v>10</v>
      </c>
      <c r="E367" s="37" t="s">
        <v>11</v>
      </c>
      <c r="F367" s="35" t="s">
        <v>11</v>
      </c>
      <c r="G367" s="38" t="s">
        <v>28</v>
      </c>
      <c r="H367" s="39">
        <v>1.297</v>
      </c>
      <c r="I367" s="49">
        <v>1.2</v>
      </c>
      <c r="J367" s="55">
        <v>39</v>
      </c>
      <c r="K367" s="55">
        <f t="shared" si="102"/>
        <v>60.69959999999999</v>
      </c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18"/>
      <c r="AA367" s="18"/>
      <c r="AB367" s="18"/>
      <c r="AC367" s="18"/>
      <c r="AD367" s="18"/>
      <c r="AE367" s="18"/>
      <c r="AF367" s="18"/>
      <c r="AG367" s="18"/>
      <c r="AH367" s="18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1:70" s="12" customFormat="1" ht="15.75" customHeight="1" outlineLevel="2">
      <c r="A368" s="139">
        <v>31</v>
      </c>
      <c r="B368" s="141" t="s">
        <v>60</v>
      </c>
      <c r="C368" s="39" t="s">
        <v>291</v>
      </c>
      <c r="D368" s="27" t="s">
        <v>10</v>
      </c>
      <c r="E368" s="37" t="s">
        <v>11</v>
      </c>
      <c r="F368" s="35" t="s">
        <v>11</v>
      </c>
      <c r="G368" s="38" t="s">
        <v>28</v>
      </c>
      <c r="H368" s="39">
        <v>1.187</v>
      </c>
      <c r="I368" s="49">
        <v>1.2</v>
      </c>
      <c r="J368" s="55">
        <v>39</v>
      </c>
      <c r="K368" s="55">
        <f t="shared" si="102"/>
        <v>55.55160000000001</v>
      </c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18"/>
      <c r="AA368" s="18"/>
      <c r="AB368" s="18"/>
      <c r="AC368" s="18"/>
      <c r="AD368" s="18"/>
      <c r="AE368" s="18"/>
      <c r="AF368" s="18"/>
      <c r="AG368" s="18"/>
      <c r="AH368" s="18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1:70" s="12" customFormat="1" ht="15.75" customHeight="1" outlineLevel="2">
      <c r="A369" s="139">
        <v>32</v>
      </c>
      <c r="B369" s="141" t="s">
        <v>60</v>
      </c>
      <c r="C369" s="39" t="s">
        <v>292</v>
      </c>
      <c r="D369" s="27" t="s">
        <v>10</v>
      </c>
      <c r="E369" s="37" t="s">
        <v>11</v>
      </c>
      <c r="F369" s="35" t="s">
        <v>11</v>
      </c>
      <c r="G369" s="38" t="s">
        <v>28</v>
      </c>
      <c r="H369" s="39">
        <v>1.662</v>
      </c>
      <c r="I369" s="49">
        <v>1.2</v>
      </c>
      <c r="J369" s="55">
        <v>39</v>
      </c>
      <c r="K369" s="55">
        <f t="shared" si="102"/>
        <v>77.78159999999998</v>
      </c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18"/>
      <c r="AA369" s="18"/>
      <c r="AB369" s="18"/>
      <c r="AC369" s="18"/>
      <c r="AD369" s="18"/>
      <c r="AE369" s="18"/>
      <c r="AF369" s="18"/>
      <c r="AG369" s="18"/>
      <c r="AH369" s="18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1:70" s="12" customFormat="1" ht="15.75" customHeight="1" outlineLevel="2">
      <c r="A370" s="139">
        <v>33</v>
      </c>
      <c r="B370" s="141" t="s">
        <v>60</v>
      </c>
      <c r="C370" s="39" t="s">
        <v>293</v>
      </c>
      <c r="D370" s="27" t="s">
        <v>10</v>
      </c>
      <c r="E370" s="37" t="s">
        <v>11</v>
      </c>
      <c r="F370" s="35" t="s">
        <v>11</v>
      </c>
      <c r="G370" s="38" t="s">
        <v>28</v>
      </c>
      <c r="H370" s="39">
        <v>1.234</v>
      </c>
      <c r="I370" s="49">
        <v>1.2</v>
      </c>
      <c r="J370" s="55">
        <v>39</v>
      </c>
      <c r="K370" s="55">
        <f t="shared" si="102"/>
        <v>57.7512</v>
      </c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18"/>
      <c r="AA370" s="18"/>
      <c r="AB370" s="18"/>
      <c r="AC370" s="18"/>
      <c r="AD370" s="18"/>
      <c r="AE370" s="18"/>
      <c r="AF370" s="18"/>
      <c r="AG370" s="18"/>
      <c r="AH370" s="18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1:70" s="12" customFormat="1" ht="15.75" customHeight="1" outlineLevel="2">
      <c r="A371" s="139">
        <v>34</v>
      </c>
      <c r="B371" s="141" t="s">
        <v>60</v>
      </c>
      <c r="C371" s="39" t="s">
        <v>294</v>
      </c>
      <c r="D371" s="27" t="s">
        <v>10</v>
      </c>
      <c r="E371" s="37" t="s">
        <v>11</v>
      </c>
      <c r="F371" s="35" t="s">
        <v>11</v>
      </c>
      <c r="G371" s="38" t="s">
        <v>28</v>
      </c>
      <c r="H371" s="39">
        <v>1.974</v>
      </c>
      <c r="I371" s="49">
        <v>1.2</v>
      </c>
      <c r="J371" s="55">
        <v>39</v>
      </c>
      <c r="K371" s="55">
        <f t="shared" si="102"/>
        <v>92.38319999999999</v>
      </c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18"/>
      <c r="AA371" s="18"/>
      <c r="AB371" s="18"/>
      <c r="AC371" s="18"/>
      <c r="AD371" s="18"/>
      <c r="AE371" s="18"/>
      <c r="AF371" s="18"/>
      <c r="AG371" s="18"/>
      <c r="AH371" s="18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1:70" s="12" customFormat="1" ht="15.75" customHeight="1" outlineLevel="2">
      <c r="A372" s="139">
        <v>35</v>
      </c>
      <c r="B372" s="141" t="s">
        <v>60</v>
      </c>
      <c r="C372" s="39" t="s">
        <v>295</v>
      </c>
      <c r="D372" s="27" t="s">
        <v>10</v>
      </c>
      <c r="E372" s="37" t="s">
        <v>11</v>
      </c>
      <c r="F372" s="35" t="s">
        <v>11</v>
      </c>
      <c r="G372" s="38" t="s">
        <v>28</v>
      </c>
      <c r="H372" s="39">
        <v>1.855</v>
      </c>
      <c r="I372" s="49">
        <v>1.2</v>
      </c>
      <c r="J372" s="55">
        <v>39</v>
      </c>
      <c r="K372" s="55">
        <f t="shared" si="102"/>
        <v>86.814</v>
      </c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18"/>
      <c r="AA372" s="18"/>
      <c r="AB372" s="18"/>
      <c r="AC372" s="18"/>
      <c r="AD372" s="18"/>
      <c r="AE372" s="18"/>
      <c r="AF372" s="18"/>
      <c r="AG372" s="18"/>
      <c r="AH372" s="18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1:70" s="12" customFormat="1" ht="15.75" customHeight="1" outlineLevel="2">
      <c r="A373" s="139">
        <v>36</v>
      </c>
      <c r="B373" s="141" t="s">
        <v>60</v>
      </c>
      <c r="C373" s="39" t="s">
        <v>296</v>
      </c>
      <c r="D373" s="27" t="s">
        <v>10</v>
      </c>
      <c r="E373" s="37" t="s">
        <v>11</v>
      </c>
      <c r="F373" s="35" t="s">
        <v>11</v>
      </c>
      <c r="G373" s="38" t="s">
        <v>28</v>
      </c>
      <c r="H373" s="39">
        <v>2.985</v>
      </c>
      <c r="I373" s="49">
        <v>1.2</v>
      </c>
      <c r="J373" s="55">
        <v>39</v>
      </c>
      <c r="K373" s="55">
        <f t="shared" si="102"/>
        <v>139.698</v>
      </c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18"/>
      <c r="AA373" s="18"/>
      <c r="AB373" s="18"/>
      <c r="AC373" s="18"/>
      <c r="AD373" s="18"/>
      <c r="AE373" s="18"/>
      <c r="AF373" s="18"/>
      <c r="AG373" s="18"/>
      <c r="AH373" s="18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1:70" s="12" customFormat="1" ht="15.75" customHeight="1" outlineLevel="2">
      <c r="A374" s="139">
        <v>37</v>
      </c>
      <c r="B374" s="141" t="s">
        <v>60</v>
      </c>
      <c r="C374" s="39" t="s">
        <v>297</v>
      </c>
      <c r="D374" s="27" t="s">
        <v>10</v>
      </c>
      <c r="E374" s="37" t="s">
        <v>11</v>
      </c>
      <c r="F374" s="35" t="s">
        <v>11</v>
      </c>
      <c r="G374" s="36" t="s">
        <v>28</v>
      </c>
      <c r="H374" s="39">
        <v>3.893</v>
      </c>
      <c r="I374" s="49">
        <v>1.2</v>
      </c>
      <c r="J374" s="55">
        <v>39</v>
      </c>
      <c r="K374" s="55">
        <f t="shared" si="102"/>
        <v>182.1924</v>
      </c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18"/>
      <c r="AA374" s="18"/>
      <c r="AB374" s="18"/>
      <c r="AC374" s="18"/>
      <c r="AD374" s="18"/>
      <c r="AE374" s="18"/>
      <c r="AF374" s="18"/>
      <c r="AG374" s="18"/>
      <c r="AH374" s="18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1:70" s="12" customFormat="1" ht="15.75" customHeight="1" outlineLevel="2">
      <c r="A375" s="139">
        <v>38</v>
      </c>
      <c r="B375" s="41" t="s">
        <v>60</v>
      </c>
      <c r="C375" s="27" t="s">
        <v>473</v>
      </c>
      <c r="D375" s="27" t="s">
        <v>474</v>
      </c>
      <c r="E375" s="41" t="s">
        <v>16</v>
      </c>
      <c r="F375" s="142" t="s">
        <v>16</v>
      </c>
      <c r="G375" s="36" t="s">
        <v>28</v>
      </c>
      <c r="H375" s="76">
        <v>3</v>
      </c>
      <c r="I375" s="49">
        <v>1.2</v>
      </c>
      <c r="J375" s="55">
        <v>39</v>
      </c>
      <c r="K375" s="55">
        <f t="shared" si="102"/>
        <v>140.39999999999998</v>
      </c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18"/>
      <c r="AA375" s="18"/>
      <c r="AB375" s="18"/>
      <c r="AC375" s="18"/>
      <c r="AD375" s="18"/>
      <c r="AE375" s="18"/>
      <c r="AF375" s="18"/>
      <c r="AG375" s="18"/>
      <c r="AH375" s="18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1:70" s="12" customFormat="1" ht="15.75" customHeight="1" outlineLevel="2">
      <c r="A376" s="173">
        <v>39</v>
      </c>
      <c r="B376" s="149" t="s">
        <v>60</v>
      </c>
      <c r="C376" s="109" t="s">
        <v>478</v>
      </c>
      <c r="D376" s="109" t="s">
        <v>474</v>
      </c>
      <c r="E376" s="149" t="s">
        <v>16</v>
      </c>
      <c r="F376" s="150" t="s">
        <v>16</v>
      </c>
      <c r="G376" s="151" t="s">
        <v>28</v>
      </c>
      <c r="H376" s="109">
        <v>25.499</v>
      </c>
      <c r="I376" s="96">
        <v>1.2</v>
      </c>
      <c r="J376" s="153">
        <v>39</v>
      </c>
      <c r="K376" s="153">
        <f t="shared" si="102"/>
        <v>1193.3531999999998</v>
      </c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18"/>
      <c r="AA376" s="18"/>
      <c r="AB376" s="18"/>
      <c r="AC376" s="18"/>
      <c r="AD376" s="18"/>
      <c r="AE376" s="18"/>
      <c r="AF376" s="18"/>
      <c r="AG376" s="18"/>
      <c r="AH376" s="18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1:35" s="172" customFormat="1" ht="15.75" customHeight="1" outlineLevel="2">
      <c r="A377" s="139">
        <v>40</v>
      </c>
      <c r="B377" s="41" t="s">
        <v>60</v>
      </c>
      <c r="C377" s="210" t="s">
        <v>467</v>
      </c>
      <c r="D377" s="210" t="s">
        <v>430</v>
      </c>
      <c r="E377" s="214" t="s">
        <v>11</v>
      </c>
      <c r="F377" s="214" t="s">
        <v>11</v>
      </c>
      <c r="G377" s="214" t="s">
        <v>28</v>
      </c>
      <c r="H377" s="210">
        <v>2.698</v>
      </c>
      <c r="I377" s="142">
        <v>1.2</v>
      </c>
      <c r="J377" s="55">
        <v>39</v>
      </c>
      <c r="K377" s="55">
        <f t="shared" si="102"/>
        <v>126.2664</v>
      </c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228"/>
      <c r="AA377" s="228"/>
      <c r="AB377" s="222"/>
      <c r="AC377" s="222"/>
      <c r="AD377" s="222"/>
      <c r="AE377" s="222"/>
      <c r="AF377" s="222"/>
      <c r="AG377" s="222"/>
      <c r="AH377" s="222"/>
      <c r="AI377" s="219"/>
    </row>
    <row r="378" spans="1:35" s="172" customFormat="1" ht="15.75" customHeight="1" outlineLevel="2">
      <c r="A378" s="139">
        <v>41</v>
      </c>
      <c r="B378" s="41" t="s">
        <v>60</v>
      </c>
      <c r="C378" s="210" t="s">
        <v>470</v>
      </c>
      <c r="D378" s="210" t="s">
        <v>30</v>
      </c>
      <c r="E378" s="211" t="s">
        <v>11</v>
      </c>
      <c r="F378" s="211" t="s">
        <v>11</v>
      </c>
      <c r="G378" s="214" t="s">
        <v>28</v>
      </c>
      <c r="H378" s="210">
        <v>1.791</v>
      </c>
      <c r="I378" s="142">
        <v>1.2</v>
      </c>
      <c r="J378" s="55">
        <v>39</v>
      </c>
      <c r="K378" s="55">
        <f t="shared" si="102"/>
        <v>83.8188</v>
      </c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228"/>
      <c r="AA378" s="228"/>
      <c r="AB378" s="222"/>
      <c r="AC378" s="222"/>
      <c r="AD378" s="222"/>
      <c r="AE378" s="222"/>
      <c r="AF378" s="222"/>
      <c r="AG378" s="222"/>
      <c r="AH378" s="222"/>
      <c r="AI378" s="219"/>
    </row>
    <row r="379" spans="1:35" s="172" customFormat="1" ht="15.75" customHeight="1" outlineLevel="2">
      <c r="A379" s="139">
        <v>42</v>
      </c>
      <c r="B379" s="41" t="s">
        <v>60</v>
      </c>
      <c r="C379" s="210" t="s">
        <v>460</v>
      </c>
      <c r="D379" s="210" t="s">
        <v>461</v>
      </c>
      <c r="E379" s="214" t="s">
        <v>11</v>
      </c>
      <c r="F379" s="214" t="s">
        <v>11</v>
      </c>
      <c r="G379" s="214" t="s">
        <v>28</v>
      </c>
      <c r="H379" s="210">
        <v>10.367</v>
      </c>
      <c r="I379" s="142">
        <v>1.2</v>
      </c>
      <c r="J379" s="55">
        <v>39</v>
      </c>
      <c r="K379" s="55">
        <f t="shared" si="102"/>
        <v>485.17560000000003</v>
      </c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228"/>
      <c r="AA379" s="228"/>
      <c r="AB379" s="222"/>
      <c r="AC379" s="222"/>
      <c r="AD379" s="222"/>
      <c r="AE379" s="222"/>
      <c r="AF379" s="222"/>
      <c r="AG379" s="222"/>
      <c r="AH379" s="222"/>
      <c r="AI379" s="219"/>
    </row>
    <row r="380" spans="1:35" s="172" customFormat="1" ht="15.75" customHeight="1" outlineLevel="2">
      <c r="A380" s="139">
        <v>43</v>
      </c>
      <c r="B380" s="41" t="s">
        <v>60</v>
      </c>
      <c r="C380" s="210" t="s">
        <v>457</v>
      </c>
      <c r="D380" s="210" t="s">
        <v>430</v>
      </c>
      <c r="E380" s="214" t="s">
        <v>11</v>
      </c>
      <c r="F380" s="214" t="s">
        <v>11</v>
      </c>
      <c r="G380" s="214" t="s">
        <v>28</v>
      </c>
      <c r="H380" s="210">
        <v>12.714</v>
      </c>
      <c r="I380" s="142">
        <v>1.2</v>
      </c>
      <c r="J380" s="55">
        <v>39</v>
      </c>
      <c r="K380" s="55">
        <f t="shared" si="102"/>
        <v>595.0152</v>
      </c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228"/>
      <c r="AA380" s="228"/>
      <c r="AB380" s="222"/>
      <c r="AC380" s="222"/>
      <c r="AD380" s="222"/>
      <c r="AE380" s="222"/>
      <c r="AF380" s="222"/>
      <c r="AG380" s="222"/>
      <c r="AH380" s="222"/>
      <c r="AI380" s="219"/>
    </row>
    <row r="381" spans="1:35" s="172" customFormat="1" ht="15.75" customHeight="1" outlineLevel="2">
      <c r="A381" s="139">
        <v>44</v>
      </c>
      <c r="B381" s="41" t="s">
        <v>60</v>
      </c>
      <c r="C381" s="210" t="s">
        <v>462</v>
      </c>
      <c r="D381" s="210" t="s">
        <v>430</v>
      </c>
      <c r="E381" s="214" t="s">
        <v>11</v>
      </c>
      <c r="F381" s="214" t="s">
        <v>11</v>
      </c>
      <c r="G381" s="214" t="s">
        <v>28</v>
      </c>
      <c r="H381" s="210">
        <v>5.825</v>
      </c>
      <c r="I381" s="142">
        <v>1.2</v>
      </c>
      <c r="J381" s="55">
        <v>39</v>
      </c>
      <c r="K381" s="55">
        <f t="shared" si="102"/>
        <v>272.61</v>
      </c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228"/>
      <c r="AA381" s="228"/>
      <c r="AB381" s="222"/>
      <c r="AC381" s="222"/>
      <c r="AD381" s="222"/>
      <c r="AE381" s="222"/>
      <c r="AF381" s="222"/>
      <c r="AG381" s="222"/>
      <c r="AH381" s="222"/>
      <c r="AI381" s="219"/>
    </row>
    <row r="382" spans="1:35" s="172" customFormat="1" ht="15.75" customHeight="1" outlineLevel="2">
      <c r="A382" s="139">
        <v>45</v>
      </c>
      <c r="B382" s="41" t="s">
        <v>60</v>
      </c>
      <c r="C382" s="210" t="s">
        <v>463</v>
      </c>
      <c r="D382" s="210" t="s">
        <v>430</v>
      </c>
      <c r="E382" s="211" t="s">
        <v>11</v>
      </c>
      <c r="F382" s="211" t="s">
        <v>11</v>
      </c>
      <c r="G382" s="214" t="s">
        <v>28</v>
      </c>
      <c r="H382" s="210">
        <v>10.799</v>
      </c>
      <c r="I382" s="142">
        <v>1.2</v>
      </c>
      <c r="J382" s="55">
        <v>39</v>
      </c>
      <c r="K382" s="55">
        <f t="shared" si="102"/>
        <v>505.3931999999999</v>
      </c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228"/>
      <c r="AA382" s="228"/>
      <c r="AB382" s="222"/>
      <c r="AC382" s="222"/>
      <c r="AD382" s="222"/>
      <c r="AE382" s="222"/>
      <c r="AF382" s="222"/>
      <c r="AG382" s="222"/>
      <c r="AH382" s="222"/>
      <c r="AI382" s="219"/>
    </row>
    <row r="383" spans="1:35" s="172" customFormat="1" ht="15.75" customHeight="1" outlineLevel="2">
      <c r="A383" s="139">
        <v>46</v>
      </c>
      <c r="B383" s="41" t="s">
        <v>60</v>
      </c>
      <c r="C383" s="210" t="s">
        <v>448</v>
      </c>
      <c r="D383" s="210" t="s">
        <v>449</v>
      </c>
      <c r="E383" s="211" t="s">
        <v>16</v>
      </c>
      <c r="F383" s="211" t="s">
        <v>16</v>
      </c>
      <c r="G383" s="214" t="s">
        <v>28</v>
      </c>
      <c r="H383" s="210">
        <v>4.291</v>
      </c>
      <c r="I383" s="142">
        <v>1.2</v>
      </c>
      <c r="J383" s="55">
        <v>39</v>
      </c>
      <c r="K383" s="55">
        <f t="shared" si="102"/>
        <v>200.8188</v>
      </c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228"/>
      <c r="AA383" s="228"/>
      <c r="AB383" s="222"/>
      <c r="AC383" s="222"/>
      <c r="AD383" s="222"/>
      <c r="AE383" s="222"/>
      <c r="AF383" s="222"/>
      <c r="AG383" s="222"/>
      <c r="AH383" s="222"/>
      <c r="AI383" s="219"/>
    </row>
    <row r="384" spans="1:35" s="172" customFormat="1" ht="15.75" customHeight="1" outlineLevel="2">
      <c r="A384" s="139">
        <v>47</v>
      </c>
      <c r="B384" s="41" t="s">
        <v>60</v>
      </c>
      <c r="C384" s="210" t="s">
        <v>151</v>
      </c>
      <c r="D384" s="210" t="s">
        <v>100</v>
      </c>
      <c r="E384" s="211" t="s">
        <v>16</v>
      </c>
      <c r="F384" s="211" t="s">
        <v>16</v>
      </c>
      <c r="G384" s="211" t="s">
        <v>14</v>
      </c>
      <c r="H384" s="210">
        <v>2.999</v>
      </c>
      <c r="I384" s="142">
        <v>1.2</v>
      </c>
      <c r="J384" s="55">
        <v>39</v>
      </c>
      <c r="K384" s="55">
        <f t="shared" si="102"/>
        <v>140.3532</v>
      </c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228"/>
      <c r="AA384" s="228"/>
      <c r="AB384" s="222"/>
      <c r="AC384" s="222"/>
      <c r="AD384" s="222"/>
      <c r="AE384" s="222"/>
      <c r="AF384" s="222"/>
      <c r="AG384" s="222"/>
      <c r="AH384" s="222"/>
      <c r="AI384" s="219"/>
    </row>
    <row r="385" spans="1:35" s="172" customFormat="1" ht="15.75" customHeight="1" outlineLevel="2">
      <c r="A385" s="139">
        <v>48</v>
      </c>
      <c r="B385" s="41" t="s">
        <v>60</v>
      </c>
      <c r="C385" s="210" t="s">
        <v>468</v>
      </c>
      <c r="D385" s="210" t="s">
        <v>451</v>
      </c>
      <c r="E385" s="211" t="s">
        <v>20</v>
      </c>
      <c r="F385" s="211" t="s">
        <v>20</v>
      </c>
      <c r="G385" s="214" t="s">
        <v>28</v>
      </c>
      <c r="H385" s="210">
        <v>3.444</v>
      </c>
      <c r="I385" s="142">
        <v>1.2</v>
      </c>
      <c r="J385" s="55">
        <v>39</v>
      </c>
      <c r="K385" s="55">
        <f t="shared" si="102"/>
        <v>161.17919999999998</v>
      </c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228"/>
      <c r="AA385" s="228"/>
      <c r="AB385" s="222"/>
      <c r="AC385" s="222"/>
      <c r="AD385" s="222"/>
      <c r="AE385" s="222"/>
      <c r="AF385" s="222"/>
      <c r="AG385" s="222"/>
      <c r="AH385" s="222"/>
      <c r="AI385" s="219"/>
    </row>
    <row r="386" spans="1:35" s="172" customFormat="1" ht="15.75" customHeight="1" outlineLevel="2">
      <c r="A386" s="139">
        <v>49</v>
      </c>
      <c r="B386" s="41" t="s">
        <v>60</v>
      </c>
      <c r="C386" s="210" t="s">
        <v>450</v>
      </c>
      <c r="D386" s="210" t="s">
        <v>451</v>
      </c>
      <c r="E386" s="211" t="s">
        <v>20</v>
      </c>
      <c r="F386" s="211" t="s">
        <v>20</v>
      </c>
      <c r="G386" s="214" t="s">
        <v>28</v>
      </c>
      <c r="H386" s="210">
        <v>5.49</v>
      </c>
      <c r="I386" s="142">
        <v>1.2</v>
      </c>
      <c r="J386" s="55">
        <v>39</v>
      </c>
      <c r="K386" s="55">
        <f t="shared" si="102"/>
        <v>256.932</v>
      </c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228"/>
      <c r="AA386" s="228"/>
      <c r="AB386" s="222"/>
      <c r="AC386" s="222"/>
      <c r="AD386" s="222"/>
      <c r="AE386" s="222"/>
      <c r="AF386" s="222"/>
      <c r="AG386" s="222"/>
      <c r="AH386" s="222"/>
      <c r="AI386" s="219"/>
    </row>
    <row r="387" spans="1:35" s="172" customFormat="1" ht="15.75" customHeight="1" outlineLevel="2">
      <c r="A387" s="139">
        <v>50</v>
      </c>
      <c r="B387" s="41" t="s">
        <v>60</v>
      </c>
      <c r="C387" s="210" t="s">
        <v>452</v>
      </c>
      <c r="D387" s="210" t="s">
        <v>447</v>
      </c>
      <c r="E387" s="211" t="s">
        <v>11</v>
      </c>
      <c r="F387" s="211" t="s">
        <v>11</v>
      </c>
      <c r="G387" s="214" t="s">
        <v>28</v>
      </c>
      <c r="H387" s="210">
        <v>3.999</v>
      </c>
      <c r="I387" s="142">
        <v>1.2</v>
      </c>
      <c r="J387" s="55">
        <v>39</v>
      </c>
      <c r="K387" s="55">
        <f t="shared" si="102"/>
        <v>187.1532</v>
      </c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228"/>
      <c r="AA387" s="228"/>
      <c r="AB387" s="222"/>
      <c r="AC387" s="222"/>
      <c r="AD387" s="222"/>
      <c r="AE387" s="222"/>
      <c r="AF387" s="222"/>
      <c r="AG387" s="222"/>
      <c r="AH387" s="222"/>
      <c r="AI387" s="219"/>
    </row>
    <row r="388" spans="1:35" s="172" customFormat="1" ht="15.75" customHeight="1" outlineLevel="2">
      <c r="A388" s="139">
        <v>51</v>
      </c>
      <c r="B388" s="41" t="s">
        <v>60</v>
      </c>
      <c r="C388" s="210" t="s">
        <v>471</v>
      </c>
      <c r="D388" s="210" t="s">
        <v>472</v>
      </c>
      <c r="E388" s="211" t="s">
        <v>16</v>
      </c>
      <c r="F388" s="211" t="s">
        <v>16</v>
      </c>
      <c r="G388" s="214" t="s">
        <v>28</v>
      </c>
      <c r="H388" s="210">
        <v>2.966</v>
      </c>
      <c r="I388" s="142">
        <v>1.2</v>
      </c>
      <c r="J388" s="55">
        <v>39</v>
      </c>
      <c r="K388" s="55">
        <f t="shared" si="102"/>
        <v>138.80880000000002</v>
      </c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228"/>
      <c r="AA388" s="228"/>
      <c r="AB388" s="222"/>
      <c r="AC388" s="222"/>
      <c r="AD388" s="222"/>
      <c r="AE388" s="222"/>
      <c r="AF388" s="222"/>
      <c r="AG388" s="222"/>
      <c r="AH388" s="222"/>
      <c r="AI388" s="219"/>
    </row>
    <row r="389" spans="1:35" s="172" customFormat="1" ht="15.75" customHeight="1" outlineLevel="2">
      <c r="A389" s="139">
        <v>52</v>
      </c>
      <c r="B389" s="41" t="s">
        <v>60</v>
      </c>
      <c r="C389" s="210" t="s">
        <v>469</v>
      </c>
      <c r="D389" s="210" t="s">
        <v>459</v>
      </c>
      <c r="E389" s="211" t="s">
        <v>16</v>
      </c>
      <c r="F389" s="211" t="s">
        <v>16</v>
      </c>
      <c r="G389" s="214" t="s">
        <v>28</v>
      </c>
      <c r="H389" s="210">
        <v>3.619</v>
      </c>
      <c r="I389" s="142">
        <v>1.2</v>
      </c>
      <c r="J389" s="55">
        <v>39</v>
      </c>
      <c r="K389" s="55">
        <f t="shared" si="102"/>
        <v>169.3692</v>
      </c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228"/>
      <c r="AA389" s="228"/>
      <c r="AB389" s="222"/>
      <c r="AC389" s="222"/>
      <c r="AD389" s="222"/>
      <c r="AE389" s="222"/>
      <c r="AF389" s="222"/>
      <c r="AG389" s="222"/>
      <c r="AH389" s="222"/>
      <c r="AI389" s="219"/>
    </row>
    <row r="390" spans="1:35" s="172" customFormat="1" ht="15.75" customHeight="1" outlineLevel="2">
      <c r="A390" s="139">
        <v>53</v>
      </c>
      <c r="B390" s="41" t="s">
        <v>60</v>
      </c>
      <c r="C390" s="210" t="s">
        <v>458</v>
      </c>
      <c r="D390" s="210" t="s">
        <v>459</v>
      </c>
      <c r="E390" s="211" t="s">
        <v>16</v>
      </c>
      <c r="F390" s="211" t="s">
        <v>16</v>
      </c>
      <c r="G390" s="214" t="s">
        <v>28</v>
      </c>
      <c r="H390" s="210">
        <v>5.999</v>
      </c>
      <c r="I390" s="142">
        <v>1.2</v>
      </c>
      <c r="J390" s="55">
        <v>39</v>
      </c>
      <c r="K390" s="55">
        <f t="shared" si="102"/>
        <v>280.7532</v>
      </c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228"/>
      <c r="AA390" s="228"/>
      <c r="AB390" s="222"/>
      <c r="AC390" s="222"/>
      <c r="AD390" s="222"/>
      <c r="AE390" s="222"/>
      <c r="AF390" s="222"/>
      <c r="AG390" s="222"/>
      <c r="AH390" s="222"/>
      <c r="AI390" s="219"/>
    </row>
    <row r="391" spans="1:35" s="172" customFormat="1" ht="15.75" customHeight="1" outlineLevel="2">
      <c r="A391" s="139">
        <v>54</v>
      </c>
      <c r="B391" s="41" t="s">
        <v>60</v>
      </c>
      <c r="C391" s="210" t="s">
        <v>464</v>
      </c>
      <c r="D391" s="210" t="s">
        <v>459</v>
      </c>
      <c r="E391" s="211" t="s">
        <v>16</v>
      </c>
      <c r="F391" s="211" t="s">
        <v>16</v>
      </c>
      <c r="G391" s="214" t="s">
        <v>28</v>
      </c>
      <c r="H391" s="210">
        <v>9.007</v>
      </c>
      <c r="I391" s="142">
        <v>1.2</v>
      </c>
      <c r="J391" s="55">
        <v>39</v>
      </c>
      <c r="K391" s="55">
        <f t="shared" si="102"/>
        <v>421.52759999999995</v>
      </c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228"/>
      <c r="AA391" s="228"/>
      <c r="AB391" s="222"/>
      <c r="AC391" s="222"/>
      <c r="AD391" s="222"/>
      <c r="AE391" s="222"/>
      <c r="AF391" s="222"/>
      <c r="AG391" s="222"/>
      <c r="AH391" s="222"/>
      <c r="AI391" s="219"/>
    </row>
    <row r="392" spans="1:35" s="172" customFormat="1" ht="15.75" customHeight="1" outlineLevel="2">
      <c r="A392" s="139">
        <v>55</v>
      </c>
      <c r="B392" s="41" t="s">
        <v>60</v>
      </c>
      <c r="C392" s="210" t="s">
        <v>465</v>
      </c>
      <c r="D392" s="210" t="s">
        <v>466</v>
      </c>
      <c r="E392" s="211" t="s">
        <v>16</v>
      </c>
      <c r="F392" s="211" t="s">
        <v>16</v>
      </c>
      <c r="G392" s="214" t="s">
        <v>28</v>
      </c>
      <c r="H392" s="210">
        <v>9.137</v>
      </c>
      <c r="I392" s="142">
        <v>1.2</v>
      </c>
      <c r="J392" s="55">
        <v>39</v>
      </c>
      <c r="K392" s="55">
        <f t="shared" si="102"/>
        <v>427.61159999999995</v>
      </c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228"/>
      <c r="AA392" s="228"/>
      <c r="AB392" s="222"/>
      <c r="AC392" s="222"/>
      <c r="AD392" s="222"/>
      <c r="AE392" s="222"/>
      <c r="AF392" s="222"/>
      <c r="AG392" s="222"/>
      <c r="AH392" s="222"/>
      <c r="AI392" s="219"/>
    </row>
    <row r="393" spans="1:35" s="172" customFormat="1" ht="15.75" customHeight="1" outlineLevel="2">
      <c r="A393" s="139">
        <v>56</v>
      </c>
      <c r="B393" s="41" t="s">
        <v>60</v>
      </c>
      <c r="C393" s="210" t="s">
        <v>453</v>
      </c>
      <c r="D393" s="210" t="s">
        <v>440</v>
      </c>
      <c r="E393" s="211" t="s">
        <v>16</v>
      </c>
      <c r="F393" s="211" t="s">
        <v>16</v>
      </c>
      <c r="G393" s="214" t="s">
        <v>28</v>
      </c>
      <c r="H393" s="210">
        <v>8.681</v>
      </c>
      <c r="I393" s="142">
        <v>1.2</v>
      </c>
      <c r="J393" s="55">
        <v>39</v>
      </c>
      <c r="K393" s="55">
        <f t="shared" si="102"/>
        <v>406.27079999999995</v>
      </c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228"/>
      <c r="AA393" s="228"/>
      <c r="AB393" s="222"/>
      <c r="AC393" s="222"/>
      <c r="AD393" s="222"/>
      <c r="AE393" s="222"/>
      <c r="AF393" s="222"/>
      <c r="AG393" s="222"/>
      <c r="AH393" s="222"/>
      <c r="AI393" s="219"/>
    </row>
    <row r="394" spans="1:35" s="172" customFormat="1" ht="15.75" customHeight="1" outlineLevel="2">
      <c r="A394" s="139">
        <v>57</v>
      </c>
      <c r="B394" s="41" t="s">
        <v>60</v>
      </c>
      <c r="C394" s="210" t="s">
        <v>454</v>
      </c>
      <c r="D394" s="210" t="s">
        <v>455</v>
      </c>
      <c r="E394" s="211" t="s">
        <v>16</v>
      </c>
      <c r="F394" s="211" t="s">
        <v>16</v>
      </c>
      <c r="G394" s="214" t="s">
        <v>28</v>
      </c>
      <c r="H394" s="210">
        <v>3.999</v>
      </c>
      <c r="I394" s="142">
        <v>1.2</v>
      </c>
      <c r="J394" s="55">
        <v>39</v>
      </c>
      <c r="K394" s="55">
        <f aca="true" t="shared" si="103" ref="K394:K399">(H394*I394*J394)</f>
        <v>187.1532</v>
      </c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228"/>
      <c r="AA394" s="228"/>
      <c r="AB394" s="222"/>
      <c r="AC394" s="222"/>
      <c r="AD394" s="222"/>
      <c r="AE394" s="222"/>
      <c r="AF394" s="222"/>
      <c r="AG394" s="222"/>
      <c r="AH394" s="222"/>
      <c r="AI394" s="219"/>
    </row>
    <row r="395" spans="1:35" s="172" customFormat="1" ht="15.75" customHeight="1" outlineLevel="2">
      <c r="A395" s="139">
        <v>58</v>
      </c>
      <c r="B395" s="41" t="s">
        <v>60</v>
      </c>
      <c r="C395" s="210" t="s">
        <v>456</v>
      </c>
      <c r="D395" s="210" t="s">
        <v>455</v>
      </c>
      <c r="E395" s="211" t="s">
        <v>16</v>
      </c>
      <c r="F395" s="211" t="s">
        <v>16</v>
      </c>
      <c r="G395" s="214" t="s">
        <v>28</v>
      </c>
      <c r="H395" s="210">
        <v>5.702</v>
      </c>
      <c r="I395" s="142">
        <v>1.2</v>
      </c>
      <c r="J395" s="55">
        <v>39</v>
      </c>
      <c r="K395" s="55">
        <f t="shared" si="103"/>
        <v>266.8536</v>
      </c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228"/>
      <c r="AA395" s="228"/>
      <c r="AB395" s="222"/>
      <c r="AC395" s="222"/>
      <c r="AD395" s="222"/>
      <c r="AE395" s="222"/>
      <c r="AF395" s="222"/>
      <c r="AG395" s="222"/>
      <c r="AH395" s="222"/>
      <c r="AI395" s="219"/>
    </row>
    <row r="396" spans="1:35" s="172" customFormat="1" ht="15.75" customHeight="1" outlineLevel="2">
      <c r="A396" s="139">
        <v>59</v>
      </c>
      <c r="B396" s="41" t="s">
        <v>60</v>
      </c>
      <c r="C396" s="210" t="s">
        <v>475</v>
      </c>
      <c r="D396" s="210" t="s">
        <v>42</v>
      </c>
      <c r="E396" s="211" t="s">
        <v>16</v>
      </c>
      <c r="F396" s="211" t="s">
        <v>16</v>
      </c>
      <c r="G396" s="214" t="s">
        <v>28</v>
      </c>
      <c r="H396" s="210">
        <v>2.589</v>
      </c>
      <c r="I396" s="142">
        <v>1.2</v>
      </c>
      <c r="J396" s="55">
        <v>39</v>
      </c>
      <c r="K396" s="55">
        <f t="shared" si="103"/>
        <v>121.1652</v>
      </c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228"/>
      <c r="AA396" s="228"/>
      <c r="AB396" s="222"/>
      <c r="AC396" s="222"/>
      <c r="AD396" s="222"/>
      <c r="AE396" s="222"/>
      <c r="AF396" s="222"/>
      <c r="AG396" s="222"/>
      <c r="AH396" s="222"/>
      <c r="AI396" s="219"/>
    </row>
    <row r="397" spans="1:35" s="172" customFormat="1" ht="15.75" customHeight="1" outlineLevel="2">
      <c r="A397" s="139">
        <v>60</v>
      </c>
      <c r="B397" s="41" t="s">
        <v>60</v>
      </c>
      <c r="C397" s="210" t="s">
        <v>476</v>
      </c>
      <c r="D397" s="210" t="s">
        <v>477</v>
      </c>
      <c r="E397" s="214" t="s">
        <v>11</v>
      </c>
      <c r="F397" s="214" t="s">
        <v>11</v>
      </c>
      <c r="G397" s="214" t="s">
        <v>28</v>
      </c>
      <c r="H397" s="210">
        <v>2.525</v>
      </c>
      <c r="I397" s="142">
        <v>1.2</v>
      </c>
      <c r="J397" s="55">
        <v>39</v>
      </c>
      <c r="K397" s="55">
        <f t="shared" si="103"/>
        <v>118.16999999999999</v>
      </c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228"/>
      <c r="AA397" s="228"/>
      <c r="AB397" s="222"/>
      <c r="AC397" s="222"/>
      <c r="AD397" s="222"/>
      <c r="AE397" s="222"/>
      <c r="AF397" s="222"/>
      <c r="AG397" s="222"/>
      <c r="AH397" s="222"/>
      <c r="AI397" s="219"/>
    </row>
    <row r="398" spans="1:35" s="172" customFormat="1" ht="15.75" customHeight="1" outlineLevel="2">
      <c r="A398" s="139">
        <v>61</v>
      </c>
      <c r="B398" s="41" t="s">
        <v>60</v>
      </c>
      <c r="C398" s="210" t="s">
        <v>446</v>
      </c>
      <c r="D398" s="210" t="s">
        <v>447</v>
      </c>
      <c r="E398" s="211" t="s">
        <v>11</v>
      </c>
      <c r="F398" s="211" t="s">
        <v>11</v>
      </c>
      <c r="G398" s="214" t="s">
        <v>28</v>
      </c>
      <c r="H398" s="210">
        <v>21.995</v>
      </c>
      <c r="I398" s="142">
        <v>1.2</v>
      </c>
      <c r="J398" s="55">
        <v>39</v>
      </c>
      <c r="K398" s="55">
        <f t="shared" si="103"/>
        <v>1029.366</v>
      </c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228"/>
      <c r="AA398" s="228"/>
      <c r="AB398" s="222"/>
      <c r="AC398" s="222"/>
      <c r="AD398" s="222"/>
      <c r="AE398" s="222"/>
      <c r="AF398" s="222"/>
      <c r="AG398" s="222"/>
      <c r="AH398" s="222"/>
      <c r="AI398" s="219"/>
    </row>
    <row r="399" spans="1:35" s="172" customFormat="1" ht="15.75" customHeight="1" outlineLevel="2">
      <c r="A399" s="139">
        <v>62</v>
      </c>
      <c r="B399" s="41" t="s">
        <v>60</v>
      </c>
      <c r="C399" s="210" t="s">
        <v>155</v>
      </c>
      <c r="D399" s="210" t="s">
        <v>30</v>
      </c>
      <c r="E399" s="211" t="s">
        <v>11</v>
      </c>
      <c r="F399" s="211" t="s">
        <v>11</v>
      </c>
      <c r="G399" s="211" t="s">
        <v>14</v>
      </c>
      <c r="H399" s="210">
        <v>1.4</v>
      </c>
      <c r="I399" s="142">
        <v>1.2</v>
      </c>
      <c r="J399" s="55">
        <v>39</v>
      </c>
      <c r="K399" s="55">
        <f t="shared" si="103"/>
        <v>65.52</v>
      </c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228"/>
      <c r="AA399" s="228"/>
      <c r="AB399" s="222"/>
      <c r="AC399" s="222"/>
      <c r="AD399" s="222"/>
      <c r="AE399" s="222"/>
      <c r="AF399" s="222"/>
      <c r="AG399" s="222"/>
      <c r="AH399" s="222"/>
      <c r="AI399" s="219"/>
    </row>
    <row r="400" spans="1:34" s="59" customFormat="1" ht="15.75" customHeight="1" outlineLevel="1">
      <c r="A400" s="166"/>
      <c r="B400" s="167" t="s">
        <v>590</v>
      </c>
      <c r="C400" s="154"/>
      <c r="D400" s="154"/>
      <c r="E400" s="156"/>
      <c r="F400" s="157"/>
      <c r="G400" s="158"/>
      <c r="H400" s="171">
        <f>SUM(H338:H399)</f>
        <v>265.86699999999996</v>
      </c>
      <c r="I400" s="157"/>
      <c r="J400" s="159"/>
      <c r="K400" s="227"/>
      <c r="L400" s="62"/>
      <c r="M400" s="62"/>
      <c r="N400" s="97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</row>
    <row r="401" spans="1:70" s="12" customFormat="1" ht="15.75" customHeight="1" outlineLevel="1">
      <c r="A401" s="139"/>
      <c r="B401" s="31"/>
      <c r="C401" s="27"/>
      <c r="D401" s="27"/>
      <c r="E401" s="41"/>
      <c r="F401" s="45"/>
      <c r="G401" s="38"/>
      <c r="H401" s="58"/>
      <c r="I401" s="45"/>
      <c r="J401" s="54"/>
      <c r="K401" s="55"/>
      <c r="L401" s="62"/>
      <c r="M401" s="62"/>
      <c r="N401" s="97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1:70" s="12" customFormat="1" ht="15.75" customHeight="1" outlineLevel="1">
      <c r="A402" s="139"/>
      <c r="B402" s="43"/>
      <c r="C402" s="39"/>
      <c r="D402" s="27"/>
      <c r="E402" s="37"/>
      <c r="F402" s="49"/>
      <c r="G402" s="38"/>
      <c r="H402" s="39"/>
      <c r="I402" s="49"/>
      <c r="J402" s="54"/>
      <c r="K402" s="55"/>
      <c r="L402" s="62"/>
      <c r="M402" s="62"/>
      <c r="N402" s="97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1:11" ht="15.75" customHeight="1" outlineLevel="1">
      <c r="A403" s="139"/>
      <c r="B403" s="141"/>
      <c r="C403" s="69"/>
      <c r="D403" s="27"/>
      <c r="E403" s="28"/>
      <c r="F403" s="142"/>
      <c r="G403" s="142"/>
      <c r="H403" s="76"/>
      <c r="I403" s="45"/>
      <c r="J403" s="54"/>
      <c r="K403" s="55"/>
    </row>
    <row r="404" spans="1:11" ht="15.75" customHeight="1" outlineLevel="1">
      <c r="A404" s="139"/>
      <c r="B404" s="141"/>
      <c r="C404" s="69"/>
      <c r="D404" s="27"/>
      <c r="E404" s="28"/>
      <c r="F404" s="142"/>
      <c r="G404" s="142"/>
      <c r="H404" s="76"/>
      <c r="I404" s="45"/>
      <c r="J404" s="54"/>
      <c r="K404" s="55"/>
    </row>
    <row r="405" spans="1:70" s="1" customFormat="1" ht="15.75" customHeight="1" outlineLevel="2">
      <c r="A405" s="139">
        <v>1</v>
      </c>
      <c r="B405" s="141" t="s">
        <v>61</v>
      </c>
      <c r="C405" s="143" t="s">
        <v>156</v>
      </c>
      <c r="D405" s="27" t="s">
        <v>62</v>
      </c>
      <c r="E405" s="28" t="s">
        <v>11</v>
      </c>
      <c r="F405" s="45" t="s">
        <v>11</v>
      </c>
      <c r="G405" s="45" t="s">
        <v>91</v>
      </c>
      <c r="H405" s="76">
        <v>3</v>
      </c>
      <c r="I405" s="49">
        <v>1.2</v>
      </c>
      <c r="J405" s="55">
        <v>28</v>
      </c>
      <c r="K405" s="55">
        <f aca="true" t="shared" si="104" ref="K405:K472">(H405*I405*J405)</f>
        <v>100.79999999999998</v>
      </c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18"/>
      <c r="AH405" s="18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1:34" s="124" customFormat="1" ht="15.75" customHeight="1" outlineLevel="1">
      <c r="A406" s="139"/>
      <c r="B406" s="125" t="s">
        <v>590</v>
      </c>
      <c r="C406" s="72"/>
      <c r="D406" s="27"/>
      <c r="E406" s="144"/>
      <c r="F406" s="141"/>
      <c r="G406" s="126"/>
      <c r="H406" s="110">
        <f>SUBTOTAL(9,H405:H405)</f>
        <v>3</v>
      </c>
      <c r="I406" s="44"/>
      <c r="J406" s="142"/>
      <c r="K406" s="55"/>
      <c r="L406" s="52"/>
      <c r="M406" s="52"/>
      <c r="N406" s="11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23"/>
      <c r="Z406" s="223"/>
      <c r="AA406" s="223"/>
      <c r="AB406" s="223"/>
      <c r="AC406" s="223"/>
      <c r="AD406" s="223"/>
      <c r="AE406" s="223"/>
      <c r="AF406" s="223"/>
      <c r="AG406" s="223"/>
      <c r="AH406" s="223"/>
    </row>
    <row r="407" spans="1:70" s="7" customFormat="1" ht="15.75" customHeight="1" outlineLevel="1">
      <c r="A407" s="139"/>
      <c r="B407" s="43"/>
      <c r="C407" s="72"/>
      <c r="D407" s="27"/>
      <c r="E407" s="144"/>
      <c r="F407" s="44"/>
      <c r="G407" s="38"/>
      <c r="H407" s="110"/>
      <c r="I407" s="44"/>
      <c r="J407" s="142"/>
      <c r="K407" s="55"/>
      <c r="L407" s="52"/>
      <c r="M407" s="52"/>
      <c r="N407" s="11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23"/>
      <c r="Z407" s="223"/>
      <c r="AA407" s="223"/>
      <c r="AB407" s="223"/>
      <c r="AC407" s="223"/>
      <c r="AD407" s="223"/>
      <c r="AE407" s="223"/>
      <c r="AF407" s="223"/>
      <c r="AG407" s="223"/>
      <c r="AH407" s="223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</row>
    <row r="408" spans="1:70" s="7" customFormat="1" ht="15.75" customHeight="1" outlineLevel="1">
      <c r="A408" s="139"/>
      <c r="B408" s="141"/>
      <c r="C408" s="73"/>
      <c r="D408" s="27"/>
      <c r="E408" s="144"/>
      <c r="F408" s="141"/>
      <c r="G408" s="142"/>
      <c r="H408" s="84"/>
      <c r="I408" s="44"/>
      <c r="J408" s="142"/>
      <c r="K408" s="55"/>
      <c r="L408" s="52"/>
      <c r="M408" s="52"/>
      <c r="N408" s="11"/>
      <c r="O408" s="223"/>
      <c r="P408" s="223"/>
      <c r="Q408" s="223"/>
      <c r="R408" s="223"/>
      <c r="S408" s="223"/>
      <c r="T408" s="223"/>
      <c r="U408" s="223"/>
      <c r="V408" s="223"/>
      <c r="W408" s="223"/>
      <c r="X408" s="223"/>
      <c r="Y408" s="223"/>
      <c r="Z408" s="223"/>
      <c r="AA408" s="223"/>
      <c r="AB408" s="223"/>
      <c r="AC408" s="223"/>
      <c r="AD408" s="223"/>
      <c r="AE408" s="223"/>
      <c r="AF408" s="223"/>
      <c r="AG408" s="223"/>
      <c r="AH408" s="223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</row>
    <row r="409" spans="1:34" s="2" customFormat="1" ht="15.75" customHeight="1" outlineLevel="1">
      <c r="A409" s="139"/>
      <c r="B409" s="142"/>
      <c r="C409" s="66"/>
      <c r="D409" s="27"/>
      <c r="E409" s="144"/>
      <c r="F409" s="141"/>
      <c r="G409" s="142"/>
      <c r="H409" s="76"/>
      <c r="I409" s="44"/>
      <c r="J409" s="54"/>
      <c r="K409" s="55"/>
      <c r="L409" s="62"/>
      <c r="M409" s="62"/>
      <c r="N409" s="97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</row>
    <row r="410" spans="1:70" s="3" customFormat="1" ht="15.75" customHeight="1" outlineLevel="2">
      <c r="A410" s="139">
        <v>1</v>
      </c>
      <c r="B410" s="142" t="s">
        <v>64</v>
      </c>
      <c r="C410" s="67" t="s">
        <v>157</v>
      </c>
      <c r="D410" s="27" t="s">
        <v>101</v>
      </c>
      <c r="E410" s="28" t="s">
        <v>16</v>
      </c>
      <c r="F410" s="45" t="s">
        <v>16</v>
      </c>
      <c r="G410" s="36" t="s">
        <v>28</v>
      </c>
      <c r="H410" s="80">
        <v>14.113</v>
      </c>
      <c r="I410" s="45">
        <v>1.2</v>
      </c>
      <c r="J410" s="55">
        <v>35</v>
      </c>
      <c r="K410" s="55">
        <f t="shared" si="104"/>
        <v>592.7459999999999</v>
      </c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18"/>
      <c r="AA410" s="18"/>
      <c r="AB410" s="18"/>
      <c r="AC410" s="18"/>
      <c r="AD410" s="18"/>
      <c r="AE410" s="18"/>
      <c r="AF410" s="18"/>
      <c r="AG410" s="18"/>
      <c r="AH410" s="18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1:70" s="3" customFormat="1" ht="15.75" customHeight="1" outlineLevel="2">
      <c r="A411" s="139">
        <v>2</v>
      </c>
      <c r="B411" s="142" t="s">
        <v>64</v>
      </c>
      <c r="C411" s="67" t="s">
        <v>158</v>
      </c>
      <c r="D411" s="27" t="s">
        <v>65</v>
      </c>
      <c r="E411" s="28" t="s">
        <v>16</v>
      </c>
      <c r="F411" s="45" t="s">
        <v>16</v>
      </c>
      <c r="G411" s="45" t="s">
        <v>91</v>
      </c>
      <c r="H411" s="76">
        <v>11.621</v>
      </c>
      <c r="I411" s="45">
        <v>1.2</v>
      </c>
      <c r="J411" s="55">
        <v>35</v>
      </c>
      <c r="K411" s="55">
        <f t="shared" si="104"/>
        <v>488.082</v>
      </c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18"/>
      <c r="AA411" s="18"/>
      <c r="AB411" s="18"/>
      <c r="AC411" s="18"/>
      <c r="AD411" s="18"/>
      <c r="AE411" s="18"/>
      <c r="AF411" s="18"/>
      <c r="AG411" s="18"/>
      <c r="AH411" s="18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1:70" s="3" customFormat="1" ht="15.75" customHeight="1" outlineLevel="2">
      <c r="A412" s="139">
        <v>3</v>
      </c>
      <c r="B412" s="142" t="s">
        <v>64</v>
      </c>
      <c r="C412" s="67" t="s">
        <v>159</v>
      </c>
      <c r="D412" s="27" t="s">
        <v>101</v>
      </c>
      <c r="E412" s="28" t="s">
        <v>18</v>
      </c>
      <c r="F412" s="142" t="s">
        <v>18</v>
      </c>
      <c r="G412" s="142" t="s">
        <v>91</v>
      </c>
      <c r="H412" s="80">
        <v>2.988</v>
      </c>
      <c r="I412" s="45">
        <v>0.7</v>
      </c>
      <c r="J412" s="55">
        <v>35</v>
      </c>
      <c r="K412" s="55">
        <f t="shared" si="104"/>
        <v>73.20599999999999</v>
      </c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174">
        <f aca="true" t="shared" si="105" ref="AI412:AQ412">(AH412+7.32)</f>
        <v>7.32</v>
      </c>
      <c r="AJ412" s="55">
        <f t="shared" si="105"/>
        <v>14.64</v>
      </c>
      <c r="AK412" s="55">
        <f t="shared" si="105"/>
        <v>21.96</v>
      </c>
      <c r="AL412" s="55">
        <f t="shared" si="105"/>
        <v>29.28</v>
      </c>
      <c r="AM412" s="55">
        <f t="shared" si="105"/>
        <v>36.6</v>
      </c>
      <c r="AN412" s="55">
        <f t="shared" si="105"/>
        <v>43.92</v>
      </c>
      <c r="AO412" s="55">
        <f t="shared" si="105"/>
        <v>51.24</v>
      </c>
      <c r="AP412" s="55">
        <f t="shared" si="105"/>
        <v>58.56</v>
      </c>
      <c r="AQ412" s="55">
        <f t="shared" si="105"/>
        <v>65.88</v>
      </c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1:70" s="12" customFormat="1" ht="15.75" customHeight="1" outlineLevel="2">
      <c r="A413" s="139">
        <v>4</v>
      </c>
      <c r="B413" s="41" t="s">
        <v>64</v>
      </c>
      <c r="C413" s="27" t="s">
        <v>487</v>
      </c>
      <c r="D413" s="27" t="s">
        <v>30</v>
      </c>
      <c r="E413" s="41" t="s">
        <v>18</v>
      </c>
      <c r="F413" s="45" t="s">
        <v>18</v>
      </c>
      <c r="G413" s="38" t="s">
        <v>28</v>
      </c>
      <c r="H413" s="76">
        <v>5.22</v>
      </c>
      <c r="I413" s="45">
        <v>0.7</v>
      </c>
      <c r="J413" s="55">
        <v>35</v>
      </c>
      <c r="K413" s="55">
        <f t="shared" si="104"/>
        <v>127.88999999999999</v>
      </c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174">
        <f aca="true" t="shared" si="106" ref="AI413:AQ413">(AH413+12.79)</f>
        <v>12.79</v>
      </c>
      <c r="AJ413" s="55">
        <f t="shared" si="106"/>
        <v>25.58</v>
      </c>
      <c r="AK413" s="55">
        <f t="shared" si="106"/>
        <v>38.37</v>
      </c>
      <c r="AL413" s="55">
        <f t="shared" si="106"/>
        <v>51.16</v>
      </c>
      <c r="AM413" s="55">
        <f t="shared" si="106"/>
        <v>63.949999999999996</v>
      </c>
      <c r="AN413" s="55">
        <f t="shared" si="106"/>
        <v>76.74</v>
      </c>
      <c r="AO413" s="55">
        <f t="shared" si="106"/>
        <v>89.53</v>
      </c>
      <c r="AP413" s="55">
        <f t="shared" si="106"/>
        <v>102.32</v>
      </c>
      <c r="AQ413" s="55">
        <f t="shared" si="106"/>
        <v>115.10999999999999</v>
      </c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1:70" s="12" customFormat="1" ht="15.75" customHeight="1" outlineLevel="2">
      <c r="A414" s="139">
        <v>5</v>
      </c>
      <c r="B414" s="108" t="s">
        <v>64</v>
      </c>
      <c r="C414" s="27" t="s">
        <v>528</v>
      </c>
      <c r="D414" s="104" t="s">
        <v>529</v>
      </c>
      <c r="E414" s="37"/>
      <c r="F414" s="142" t="s">
        <v>16</v>
      </c>
      <c r="G414" s="103" t="s">
        <v>33</v>
      </c>
      <c r="H414" s="27">
        <v>26.429</v>
      </c>
      <c r="I414" s="45">
        <v>1.2</v>
      </c>
      <c r="J414" s="55">
        <v>35</v>
      </c>
      <c r="K414" s="55">
        <f t="shared" si="104"/>
        <v>1110.0179999999998</v>
      </c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174"/>
      <c r="AJ414" s="55"/>
      <c r="AK414" s="55"/>
      <c r="AL414" s="55"/>
      <c r="AM414" s="55"/>
      <c r="AN414" s="55"/>
      <c r="AO414" s="55"/>
      <c r="AP414" s="55"/>
      <c r="AQ414" s="55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1:70" s="12" customFormat="1" ht="15.75" customHeight="1" outlineLevel="2">
      <c r="A415" s="139">
        <v>6</v>
      </c>
      <c r="B415" s="119" t="s">
        <v>64</v>
      </c>
      <c r="C415" s="39" t="s">
        <v>305</v>
      </c>
      <c r="D415" s="104" t="s">
        <v>341</v>
      </c>
      <c r="E415" s="37" t="s">
        <v>18</v>
      </c>
      <c r="F415" s="35" t="s">
        <v>18</v>
      </c>
      <c r="G415" s="103" t="s">
        <v>307</v>
      </c>
      <c r="H415" s="39">
        <v>3.324</v>
      </c>
      <c r="I415" s="45">
        <v>0.7</v>
      </c>
      <c r="J415" s="55">
        <v>35</v>
      </c>
      <c r="K415" s="55">
        <f t="shared" si="104"/>
        <v>81.43799999999999</v>
      </c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174">
        <f aca="true" t="shared" si="107" ref="AI415:AQ415">(AH415+8.14)</f>
        <v>8.14</v>
      </c>
      <c r="AJ415" s="55">
        <f t="shared" si="107"/>
        <v>16.28</v>
      </c>
      <c r="AK415" s="55">
        <f t="shared" si="107"/>
        <v>24.42</v>
      </c>
      <c r="AL415" s="55">
        <f t="shared" si="107"/>
        <v>32.56</v>
      </c>
      <c r="AM415" s="55">
        <f t="shared" si="107"/>
        <v>40.7</v>
      </c>
      <c r="AN415" s="55">
        <f t="shared" si="107"/>
        <v>48.84</v>
      </c>
      <c r="AO415" s="55">
        <f t="shared" si="107"/>
        <v>56.980000000000004</v>
      </c>
      <c r="AP415" s="55">
        <f t="shared" si="107"/>
        <v>65.12</v>
      </c>
      <c r="AQ415" s="55">
        <f t="shared" si="107"/>
        <v>73.26</v>
      </c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1:70" s="12" customFormat="1" ht="15.75" customHeight="1" outlineLevel="2">
      <c r="A416" s="139">
        <v>7</v>
      </c>
      <c r="B416" s="119" t="s">
        <v>64</v>
      </c>
      <c r="C416" s="39" t="s">
        <v>306</v>
      </c>
      <c r="D416" s="104" t="s">
        <v>102</v>
      </c>
      <c r="E416" s="37" t="s">
        <v>35</v>
      </c>
      <c r="F416" s="141" t="s">
        <v>35</v>
      </c>
      <c r="G416" s="103" t="s">
        <v>28</v>
      </c>
      <c r="H416" s="39">
        <v>3.775</v>
      </c>
      <c r="I416" s="45">
        <v>0.7</v>
      </c>
      <c r="J416" s="55">
        <v>35</v>
      </c>
      <c r="K416" s="55">
        <f t="shared" si="104"/>
        <v>92.48749999999998</v>
      </c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174">
        <f aca="true" t="shared" si="108" ref="AI416:AQ416">(AH416+9.25)</f>
        <v>9.25</v>
      </c>
      <c r="AJ416" s="55">
        <f t="shared" si="108"/>
        <v>18.5</v>
      </c>
      <c r="AK416" s="55">
        <f t="shared" si="108"/>
        <v>27.75</v>
      </c>
      <c r="AL416" s="55">
        <f t="shared" si="108"/>
        <v>37</v>
      </c>
      <c r="AM416" s="55">
        <f t="shared" si="108"/>
        <v>46.25</v>
      </c>
      <c r="AN416" s="55">
        <f t="shared" si="108"/>
        <v>55.5</v>
      </c>
      <c r="AO416" s="55">
        <f t="shared" si="108"/>
        <v>64.75</v>
      </c>
      <c r="AP416" s="55">
        <f t="shared" si="108"/>
        <v>74</v>
      </c>
      <c r="AQ416" s="55">
        <f t="shared" si="108"/>
        <v>83.25</v>
      </c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1:43" s="59" customFormat="1" ht="15.75" customHeight="1" outlineLevel="2">
      <c r="A417" s="139">
        <v>8</v>
      </c>
      <c r="B417" s="119" t="s">
        <v>64</v>
      </c>
      <c r="C417" s="162" t="s">
        <v>570</v>
      </c>
      <c r="D417" s="106" t="s">
        <v>529</v>
      </c>
      <c r="E417" s="102"/>
      <c r="F417" s="150" t="s">
        <v>16</v>
      </c>
      <c r="G417" s="107" t="s">
        <v>33</v>
      </c>
      <c r="H417" s="162">
        <v>26.249</v>
      </c>
      <c r="I417" s="45">
        <v>1.2</v>
      </c>
      <c r="J417" s="55">
        <v>35</v>
      </c>
      <c r="K417" s="55">
        <f t="shared" si="104"/>
        <v>1102.4579999999999</v>
      </c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174"/>
      <c r="AJ417" s="55"/>
      <c r="AK417" s="55"/>
      <c r="AL417" s="55"/>
      <c r="AM417" s="55"/>
      <c r="AN417" s="55"/>
      <c r="AO417" s="55"/>
      <c r="AP417" s="55"/>
      <c r="AQ417" s="55"/>
    </row>
    <row r="418" spans="1:43" s="161" customFormat="1" ht="15.75" customHeight="1" outlineLevel="2">
      <c r="A418" s="139">
        <v>9</v>
      </c>
      <c r="B418" s="119" t="s">
        <v>64</v>
      </c>
      <c r="C418" s="210" t="s">
        <v>488</v>
      </c>
      <c r="D418" s="210" t="s">
        <v>489</v>
      </c>
      <c r="E418" s="211" t="s">
        <v>18</v>
      </c>
      <c r="F418" s="142" t="s">
        <v>18</v>
      </c>
      <c r="G418" s="36" t="s">
        <v>28</v>
      </c>
      <c r="H418" s="210">
        <v>9.109</v>
      </c>
      <c r="I418" s="215">
        <v>0.7</v>
      </c>
      <c r="J418" s="55">
        <v>35</v>
      </c>
      <c r="K418" s="55">
        <f t="shared" si="104"/>
        <v>223.17049999999998</v>
      </c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</row>
    <row r="419" spans="1:43" s="161" customFormat="1" ht="15.75" customHeight="1" outlineLevel="2">
      <c r="A419" s="139">
        <v>10</v>
      </c>
      <c r="B419" s="119" t="s">
        <v>64</v>
      </c>
      <c r="C419" s="210" t="s">
        <v>486</v>
      </c>
      <c r="D419" s="210" t="s">
        <v>102</v>
      </c>
      <c r="E419" s="211" t="s">
        <v>591</v>
      </c>
      <c r="F419" s="142" t="s">
        <v>18</v>
      </c>
      <c r="G419" s="36" t="s">
        <v>28</v>
      </c>
      <c r="H419" s="210">
        <v>13.15</v>
      </c>
      <c r="I419" s="215">
        <v>1.2</v>
      </c>
      <c r="J419" s="55">
        <v>35</v>
      </c>
      <c r="K419" s="55">
        <f t="shared" si="104"/>
        <v>552.3</v>
      </c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</row>
    <row r="420" spans="1:43" s="161" customFormat="1" ht="15.75" customHeight="1" outlineLevel="2">
      <c r="A420" s="139">
        <v>11</v>
      </c>
      <c r="B420" s="119" t="s">
        <v>64</v>
      </c>
      <c r="C420" s="210" t="s">
        <v>530</v>
      </c>
      <c r="D420" s="210" t="s">
        <v>485</v>
      </c>
      <c r="E420" s="211" t="s">
        <v>18</v>
      </c>
      <c r="F420" s="142" t="s">
        <v>18</v>
      </c>
      <c r="G420" s="36" t="s">
        <v>28</v>
      </c>
      <c r="H420" s="210">
        <v>8.556</v>
      </c>
      <c r="I420" s="123">
        <v>0.7</v>
      </c>
      <c r="J420" s="55">
        <v>35</v>
      </c>
      <c r="K420" s="55">
        <f t="shared" si="104"/>
        <v>209.62199999999999</v>
      </c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</row>
    <row r="421" spans="1:43" s="161" customFormat="1" ht="15.75" customHeight="1" outlineLevel="2">
      <c r="A421" s="139">
        <v>12</v>
      </c>
      <c r="B421" s="119" t="s">
        <v>64</v>
      </c>
      <c r="C421" s="210" t="s">
        <v>484</v>
      </c>
      <c r="D421" s="210" t="s">
        <v>485</v>
      </c>
      <c r="E421" s="211" t="s">
        <v>18</v>
      </c>
      <c r="F421" s="142" t="s">
        <v>18</v>
      </c>
      <c r="G421" s="36" t="s">
        <v>28</v>
      </c>
      <c r="H421" s="210">
        <v>4.297</v>
      </c>
      <c r="I421" s="216">
        <v>0.7</v>
      </c>
      <c r="J421" s="174">
        <v>35</v>
      </c>
      <c r="K421" s="55">
        <f t="shared" si="104"/>
        <v>105.2765</v>
      </c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</row>
    <row r="422" spans="1:34" s="59" customFormat="1" ht="15.75" customHeight="1" outlineLevel="1">
      <c r="A422" s="139"/>
      <c r="B422" s="125" t="s">
        <v>590</v>
      </c>
      <c r="C422" s="163"/>
      <c r="D422" s="164"/>
      <c r="E422" s="165"/>
      <c r="F422" s="157"/>
      <c r="G422" s="158"/>
      <c r="H422" s="175">
        <f>SUM(H410:H421)</f>
        <v>128.831</v>
      </c>
      <c r="I422" s="157"/>
      <c r="J422" s="54"/>
      <c r="K422" s="55"/>
      <c r="L422" s="62"/>
      <c r="M422" s="62"/>
      <c r="N422" s="97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</row>
    <row r="423" spans="1:70" s="12" customFormat="1" ht="15.75" customHeight="1" outlineLevel="1">
      <c r="A423" s="139"/>
      <c r="B423" s="31"/>
      <c r="C423" s="27"/>
      <c r="D423" s="27"/>
      <c r="E423" s="41"/>
      <c r="F423" s="45"/>
      <c r="G423" s="38"/>
      <c r="H423" s="90"/>
      <c r="I423" s="45"/>
      <c r="J423" s="54"/>
      <c r="K423" s="55"/>
      <c r="L423" s="62"/>
      <c r="M423" s="62"/>
      <c r="N423" s="97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1:70" s="12" customFormat="1" ht="15.75" customHeight="1" outlineLevel="1">
      <c r="A424" s="139"/>
      <c r="B424" s="48"/>
      <c r="C424" s="67"/>
      <c r="D424" s="27"/>
      <c r="E424" s="144"/>
      <c r="F424" s="44"/>
      <c r="G424" s="45"/>
      <c r="H424" s="80"/>
      <c r="I424" s="44"/>
      <c r="J424" s="54"/>
      <c r="K424" s="55"/>
      <c r="L424" s="62"/>
      <c r="M424" s="62"/>
      <c r="N424" s="97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1:70" s="12" customFormat="1" ht="15.75" customHeight="1" outlineLevel="1">
      <c r="A425" s="139"/>
      <c r="B425" s="48"/>
      <c r="C425" s="67"/>
      <c r="D425" s="27"/>
      <c r="E425" s="144"/>
      <c r="F425" s="44"/>
      <c r="G425" s="45"/>
      <c r="H425" s="80"/>
      <c r="I425" s="44"/>
      <c r="J425" s="54"/>
      <c r="K425" s="55"/>
      <c r="L425" s="62"/>
      <c r="M425" s="62"/>
      <c r="N425" s="97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1:34" s="2" customFormat="1" ht="15.75" customHeight="1" outlineLevel="2">
      <c r="A426" s="139">
        <v>1</v>
      </c>
      <c r="B426" s="142" t="s">
        <v>66</v>
      </c>
      <c r="C426" s="24" t="s">
        <v>160</v>
      </c>
      <c r="D426" s="27" t="s">
        <v>67</v>
      </c>
      <c r="E426" s="28" t="s">
        <v>16</v>
      </c>
      <c r="F426" s="142" t="s">
        <v>16</v>
      </c>
      <c r="G426" s="142" t="s">
        <v>91</v>
      </c>
      <c r="H426" s="27">
        <v>5.554</v>
      </c>
      <c r="I426" s="49">
        <v>1.2</v>
      </c>
      <c r="J426" s="55">
        <v>36</v>
      </c>
      <c r="K426" s="55">
        <f t="shared" si="104"/>
        <v>239.93280000000001</v>
      </c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</row>
    <row r="427" spans="1:38" s="2" customFormat="1" ht="15.75" customHeight="1" outlineLevel="2">
      <c r="A427" s="139">
        <v>2</v>
      </c>
      <c r="B427" s="142" t="s">
        <v>66</v>
      </c>
      <c r="C427" s="24" t="s">
        <v>161</v>
      </c>
      <c r="D427" s="27" t="s">
        <v>68</v>
      </c>
      <c r="E427" s="28" t="s">
        <v>18</v>
      </c>
      <c r="F427" s="142" t="s">
        <v>18</v>
      </c>
      <c r="G427" s="142" t="s">
        <v>91</v>
      </c>
      <c r="H427" s="27">
        <v>5.186</v>
      </c>
      <c r="I427" s="45">
        <v>0.7</v>
      </c>
      <c r="J427" s="55">
        <v>36</v>
      </c>
      <c r="K427" s="55">
        <f t="shared" si="104"/>
        <v>130.6872</v>
      </c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174">
        <f>(AH427+13.07)</f>
        <v>13.07</v>
      </c>
      <c r="AJ427" s="55">
        <f>(AI427+13.07)</f>
        <v>26.14</v>
      </c>
      <c r="AK427" s="55">
        <f>(AJ427+13.07)</f>
        <v>39.21</v>
      </c>
      <c r="AL427" s="55">
        <f>(AK427+13.07)</f>
        <v>52.28</v>
      </c>
    </row>
    <row r="428" spans="1:34" s="2" customFormat="1" ht="15.75" customHeight="1" outlineLevel="2">
      <c r="A428" s="139">
        <v>3</v>
      </c>
      <c r="B428" s="142" t="s">
        <v>66</v>
      </c>
      <c r="C428" s="24" t="s">
        <v>163</v>
      </c>
      <c r="D428" s="27" t="s">
        <v>68</v>
      </c>
      <c r="E428" s="28" t="s">
        <v>18</v>
      </c>
      <c r="F428" s="142" t="s">
        <v>18</v>
      </c>
      <c r="G428" s="142" t="s">
        <v>91</v>
      </c>
      <c r="H428" s="27">
        <v>12.775</v>
      </c>
      <c r="I428" s="45">
        <v>1.2</v>
      </c>
      <c r="J428" s="55">
        <v>36</v>
      </c>
      <c r="K428" s="55">
        <f t="shared" si="104"/>
        <v>551.88</v>
      </c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18"/>
      <c r="AF428" s="18"/>
      <c r="AG428" s="18"/>
      <c r="AH428" s="18"/>
    </row>
    <row r="429" spans="1:38" s="2" customFormat="1" ht="15.75" customHeight="1" outlineLevel="2">
      <c r="A429" s="139">
        <v>4</v>
      </c>
      <c r="B429" s="142" t="s">
        <v>66</v>
      </c>
      <c r="C429" s="24" t="s">
        <v>162</v>
      </c>
      <c r="D429" s="27" t="s">
        <v>68</v>
      </c>
      <c r="E429" s="28" t="s">
        <v>18</v>
      </c>
      <c r="F429" s="142" t="s">
        <v>18</v>
      </c>
      <c r="G429" s="142" t="s">
        <v>91</v>
      </c>
      <c r="H429" s="27">
        <v>5.899</v>
      </c>
      <c r="I429" s="45">
        <v>0.7</v>
      </c>
      <c r="J429" s="55">
        <v>36</v>
      </c>
      <c r="K429" s="55">
        <f t="shared" si="104"/>
        <v>148.6548</v>
      </c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174">
        <f>(AH429+14.87)</f>
        <v>14.87</v>
      </c>
      <c r="AJ429" s="55">
        <f>(AI429+14.87)</f>
        <v>29.74</v>
      </c>
      <c r="AK429" s="55">
        <f>(AJ429+14.87)</f>
        <v>44.61</v>
      </c>
      <c r="AL429" s="55">
        <f>(AK429+14.87)</f>
        <v>59.48</v>
      </c>
    </row>
    <row r="430" spans="1:38" s="2" customFormat="1" ht="15.75" customHeight="1" outlineLevel="2">
      <c r="A430" s="139">
        <v>5</v>
      </c>
      <c r="B430" s="142" t="s">
        <v>66</v>
      </c>
      <c r="C430" s="39" t="s">
        <v>164</v>
      </c>
      <c r="D430" s="27" t="s">
        <v>96</v>
      </c>
      <c r="E430" s="37" t="s">
        <v>40</v>
      </c>
      <c r="F430" s="35" t="s">
        <v>40</v>
      </c>
      <c r="G430" s="142" t="s">
        <v>91</v>
      </c>
      <c r="H430" s="78">
        <v>1.58</v>
      </c>
      <c r="I430" s="45">
        <v>0.7</v>
      </c>
      <c r="J430" s="55">
        <v>36</v>
      </c>
      <c r="K430" s="55">
        <f t="shared" si="104"/>
        <v>39.815999999999995</v>
      </c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174">
        <f>(AH430+3.98)</f>
        <v>3.98</v>
      </c>
      <c r="AJ430" s="55">
        <f>(AI430+3.98)</f>
        <v>7.96</v>
      </c>
      <c r="AK430" s="55">
        <f>(AJ430+3.98)</f>
        <v>11.94</v>
      </c>
      <c r="AL430" s="55">
        <f>(AK430+3.98)</f>
        <v>15.92</v>
      </c>
    </row>
    <row r="431" spans="1:70" s="3" customFormat="1" ht="15.75" customHeight="1" outlineLevel="2">
      <c r="A431" s="139">
        <v>6</v>
      </c>
      <c r="B431" s="142" t="s">
        <v>66</v>
      </c>
      <c r="C431" s="39" t="s">
        <v>509</v>
      </c>
      <c r="D431" s="27" t="s">
        <v>69</v>
      </c>
      <c r="E431" s="27" t="s">
        <v>18</v>
      </c>
      <c r="F431" s="142" t="s">
        <v>18</v>
      </c>
      <c r="G431" s="36" t="s">
        <v>33</v>
      </c>
      <c r="H431" s="27">
        <v>14.313</v>
      </c>
      <c r="I431" s="45">
        <v>1.2</v>
      </c>
      <c r="J431" s="55">
        <v>36</v>
      </c>
      <c r="K431" s="55">
        <f t="shared" si="104"/>
        <v>618.3216</v>
      </c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18"/>
      <c r="AA431" s="18"/>
      <c r="AB431" s="18"/>
      <c r="AC431" s="18"/>
      <c r="AD431" s="18"/>
      <c r="AE431" s="18"/>
      <c r="AF431" s="18"/>
      <c r="AG431" s="18"/>
      <c r="AH431" s="18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</row>
    <row r="432" spans="1:70" s="1" customFormat="1" ht="15.75" customHeight="1" outlineLevel="2">
      <c r="A432" s="139">
        <v>7</v>
      </c>
      <c r="B432" s="142" t="s">
        <v>66</v>
      </c>
      <c r="C432" s="39" t="s">
        <v>510</v>
      </c>
      <c r="D432" s="27" t="s">
        <v>69</v>
      </c>
      <c r="E432" s="27" t="s">
        <v>18</v>
      </c>
      <c r="F432" s="142" t="s">
        <v>18</v>
      </c>
      <c r="G432" s="36" t="s">
        <v>33</v>
      </c>
      <c r="H432" s="27">
        <v>15.294</v>
      </c>
      <c r="I432" s="45">
        <v>1.2</v>
      </c>
      <c r="J432" s="55">
        <v>36</v>
      </c>
      <c r="K432" s="55">
        <f t="shared" si="104"/>
        <v>660.7008</v>
      </c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18"/>
      <c r="AA432" s="18"/>
      <c r="AB432" s="18"/>
      <c r="AC432" s="18"/>
      <c r="AD432" s="18"/>
      <c r="AE432" s="18"/>
      <c r="AF432" s="18"/>
      <c r="AG432" s="18"/>
      <c r="AH432" s="18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</row>
    <row r="433" spans="1:70" s="1" customFormat="1" ht="15.75" customHeight="1" outlineLevel="2">
      <c r="A433" s="139">
        <v>8</v>
      </c>
      <c r="B433" s="142" t="s">
        <v>66</v>
      </c>
      <c r="C433" s="24" t="s">
        <v>165</v>
      </c>
      <c r="D433" s="27" t="s">
        <v>63</v>
      </c>
      <c r="E433" s="28" t="s">
        <v>18</v>
      </c>
      <c r="F433" s="142" t="s">
        <v>18</v>
      </c>
      <c r="G433" s="142" t="s">
        <v>91</v>
      </c>
      <c r="H433" s="80">
        <v>3.429</v>
      </c>
      <c r="I433" s="45">
        <v>0.7</v>
      </c>
      <c r="J433" s="55">
        <v>36</v>
      </c>
      <c r="K433" s="55">
        <f t="shared" si="104"/>
        <v>86.4108</v>
      </c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174">
        <f>(AH433+8.64)</f>
        <v>8.64</v>
      </c>
      <c r="AJ433" s="55">
        <f>(AI433+8.64)</f>
        <v>17.28</v>
      </c>
      <c r="AK433" s="55">
        <f>(AJ433+8.64)</f>
        <v>25.92</v>
      </c>
      <c r="AL433" s="55">
        <f>(AK433+8.64)</f>
        <v>34.56</v>
      </c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</row>
    <row r="434" spans="1:70" s="12" customFormat="1" ht="15.75" customHeight="1" outlineLevel="2">
      <c r="A434" s="139">
        <v>9</v>
      </c>
      <c r="B434" s="142" t="s">
        <v>66</v>
      </c>
      <c r="C434" s="24" t="s">
        <v>166</v>
      </c>
      <c r="D434" s="27" t="s">
        <v>108</v>
      </c>
      <c r="E434" s="28" t="s">
        <v>18</v>
      </c>
      <c r="F434" s="45" t="s">
        <v>18</v>
      </c>
      <c r="G434" s="45" t="s">
        <v>91</v>
      </c>
      <c r="H434" s="80">
        <v>97.729</v>
      </c>
      <c r="I434" s="45">
        <v>1.2</v>
      </c>
      <c r="J434" s="55">
        <v>36</v>
      </c>
      <c r="K434" s="55">
        <f t="shared" si="104"/>
        <v>4221.8928</v>
      </c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18"/>
      <c r="AB434" s="18"/>
      <c r="AC434" s="18"/>
      <c r="AD434" s="18"/>
      <c r="AE434" s="18"/>
      <c r="AF434" s="18"/>
      <c r="AG434" s="18"/>
      <c r="AH434" s="18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</row>
    <row r="435" spans="1:70" s="12" customFormat="1" ht="15.75" customHeight="1" outlineLevel="2">
      <c r="A435" s="139">
        <v>10</v>
      </c>
      <c r="B435" s="142" t="s">
        <v>66</v>
      </c>
      <c r="C435" s="39" t="s">
        <v>511</v>
      </c>
      <c r="D435" s="27" t="s">
        <v>108</v>
      </c>
      <c r="E435" s="27" t="s">
        <v>16</v>
      </c>
      <c r="F435" s="45" t="s">
        <v>16</v>
      </c>
      <c r="G435" s="38" t="s">
        <v>33</v>
      </c>
      <c r="H435" s="27">
        <v>12.185</v>
      </c>
      <c r="I435" s="45">
        <v>1.2</v>
      </c>
      <c r="J435" s="55">
        <v>36</v>
      </c>
      <c r="K435" s="55">
        <f t="shared" si="104"/>
        <v>526.392</v>
      </c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</row>
    <row r="436" spans="1:70" s="12" customFormat="1" ht="15.75" customHeight="1" outlineLevel="2">
      <c r="A436" s="139">
        <v>11</v>
      </c>
      <c r="B436" s="142" t="s">
        <v>66</v>
      </c>
      <c r="C436" s="39" t="s">
        <v>237</v>
      </c>
      <c r="D436" s="27" t="s">
        <v>334</v>
      </c>
      <c r="E436" s="37" t="s">
        <v>18</v>
      </c>
      <c r="F436" s="45" t="s">
        <v>18</v>
      </c>
      <c r="G436" s="45" t="s">
        <v>91</v>
      </c>
      <c r="H436" s="39">
        <v>3.016</v>
      </c>
      <c r="I436" s="45">
        <v>0.7</v>
      </c>
      <c r="J436" s="55">
        <v>36</v>
      </c>
      <c r="K436" s="55">
        <f t="shared" si="104"/>
        <v>76.00319999999999</v>
      </c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174">
        <f>(AH436+7.6)</f>
        <v>7.6</v>
      </c>
      <c r="AJ436" s="55">
        <f>(AI436+7.6)</f>
        <v>15.2</v>
      </c>
      <c r="AK436" s="55">
        <f>(AJ436+7.6)</f>
        <v>22.799999999999997</v>
      </c>
      <c r="AL436" s="55">
        <f>(AK436+7.6)</f>
        <v>30.4</v>
      </c>
      <c r="AM436" s="55">
        <f>(AL436+7.6)</f>
        <v>38</v>
      </c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</row>
    <row r="437" spans="1:70" s="12" customFormat="1" ht="15.75" customHeight="1" outlineLevel="2">
      <c r="A437" s="139">
        <v>12</v>
      </c>
      <c r="B437" s="142" t="s">
        <v>66</v>
      </c>
      <c r="C437" s="39" t="s">
        <v>512</v>
      </c>
      <c r="D437" s="27" t="s">
        <v>513</v>
      </c>
      <c r="E437" s="27" t="s">
        <v>18</v>
      </c>
      <c r="F437" s="45" t="s">
        <v>18</v>
      </c>
      <c r="G437" s="36" t="s">
        <v>33</v>
      </c>
      <c r="H437" s="76">
        <v>8.81</v>
      </c>
      <c r="I437" s="45">
        <v>0.7</v>
      </c>
      <c r="J437" s="55">
        <v>36</v>
      </c>
      <c r="K437" s="55">
        <f t="shared" si="104"/>
        <v>222.012</v>
      </c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174">
        <f aca="true" t="shared" si="109" ref="AI437:AO437">(AH437+22.2)</f>
        <v>22.2</v>
      </c>
      <c r="AJ437" s="55">
        <f t="shared" si="109"/>
        <v>44.4</v>
      </c>
      <c r="AK437" s="55">
        <f t="shared" si="109"/>
        <v>66.6</v>
      </c>
      <c r="AL437" s="55">
        <f t="shared" si="109"/>
        <v>88.8</v>
      </c>
      <c r="AM437" s="55">
        <f t="shared" si="109"/>
        <v>111</v>
      </c>
      <c r="AN437" s="55">
        <f t="shared" si="109"/>
        <v>133.2</v>
      </c>
      <c r="AO437" s="55">
        <f t="shared" si="109"/>
        <v>155.39999999999998</v>
      </c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</row>
    <row r="438" spans="1:70" s="12" customFormat="1" ht="15.75" customHeight="1" outlineLevel="2">
      <c r="A438" s="139">
        <v>13</v>
      </c>
      <c r="B438" s="142" t="s">
        <v>66</v>
      </c>
      <c r="C438" s="39" t="s">
        <v>238</v>
      </c>
      <c r="D438" s="27" t="s">
        <v>70</v>
      </c>
      <c r="E438" s="37" t="s">
        <v>40</v>
      </c>
      <c r="F438" s="49" t="s">
        <v>40</v>
      </c>
      <c r="G438" s="36" t="s">
        <v>28</v>
      </c>
      <c r="H438" s="39">
        <v>1.111</v>
      </c>
      <c r="I438" s="45">
        <v>0.7</v>
      </c>
      <c r="J438" s="55">
        <v>36</v>
      </c>
      <c r="K438" s="55">
        <f t="shared" si="104"/>
        <v>27.9972</v>
      </c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174">
        <f>(AH438+2.8)</f>
        <v>2.8</v>
      </c>
      <c r="AJ438" s="55">
        <f>(AI438+2.8)</f>
        <v>5.6</v>
      </c>
      <c r="AK438" s="55">
        <f>(AJ438+2.8)</f>
        <v>8.399999999999999</v>
      </c>
      <c r="AL438" s="55">
        <f>(AK438+2.8)</f>
        <v>11.2</v>
      </c>
      <c r="AM438" s="55">
        <f>(AL438+2.8)</f>
        <v>14</v>
      </c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</row>
    <row r="439" spans="1:70" s="12" customFormat="1" ht="15.75" customHeight="1" outlineLevel="2">
      <c r="A439" s="139">
        <v>14</v>
      </c>
      <c r="B439" s="142" t="s">
        <v>66</v>
      </c>
      <c r="C439" s="39" t="s">
        <v>239</v>
      </c>
      <c r="D439" s="27" t="s">
        <v>70</v>
      </c>
      <c r="E439" s="37" t="s">
        <v>40</v>
      </c>
      <c r="F439" s="49" t="s">
        <v>40</v>
      </c>
      <c r="G439" s="36" t="s">
        <v>28</v>
      </c>
      <c r="H439" s="39">
        <v>1.108</v>
      </c>
      <c r="I439" s="45">
        <v>0.7</v>
      </c>
      <c r="J439" s="55">
        <v>36</v>
      </c>
      <c r="K439" s="55">
        <f t="shared" si="104"/>
        <v>27.9216</v>
      </c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174">
        <f aca="true" t="shared" si="110" ref="AI439:AO439">(AH439+2.79)</f>
        <v>2.79</v>
      </c>
      <c r="AJ439" s="55">
        <f t="shared" si="110"/>
        <v>5.58</v>
      </c>
      <c r="AK439" s="55">
        <f t="shared" si="110"/>
        <v>8.370000000000001</v>
      </c>
      <c r="AL439" s="55">
        <f t="shared" si="110"/>
        <v>11.16</v>
      </c>
      <c r="AM439" s="55">
        <f t="shared" si="110"/>
        <v>13.95</v>
      </c>
      <c r="AN439" s="55">
        <f t="shared" si="110"/>
        <v>16.74</v>
      </c>
      <c r="AO439" s="55">
        <f t="shared" si="110"/>
        <v>19.529999999999998</v>
      </c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</row>
    <row r="440" spans="1:70" s="12" customFormat="1" ht="15.75" customHeight="1" outlineLevel="2">
      <c r="A440" s="139">
        <v>15</v>
      </c>
      <c r="B440" s="142" t="s">
        <v>66</v>
      </c>
      <c r="C440" s="39" t="s">
        <v>240</v>
      </c>
      <c r="D440" s="27" t="s">
        <v>70</v>
      </c>
      <c r="E440" s="37" t="s">
        <v>40</v>
      </c>
      <c r="F440" s="49" t="s">
        <v>40</v>
      </c>
      <c r="G440" s="36" t="s">
        <v>28</v>
      </c>
      <c r="H440" s="39">
        <v>1.495</v>
      </c>
      <c r="I440" s="45">
        <v>0.7</v>
      </c>
      <c r="J440" s="55">
        <v>36</v>
      </c>
      <c r="K440" s="55">
        <f t="shared" si="104"/>
        <v>37.674</v>
      </c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174">
        <f>(AH440+3.77)</f>
        <v>3.77</v>
      </c>
      <c r="AJ440" s="55">
        <f>(AI440+3.77)</f>
        <v>7.54</v>
      </c>
      <c r="AK440" s="55">
        <f>(AJ440+3.77)</f>
        <v>11.31</v>
      </c>
      <c r="AL440" s="55">
        <f>(AK440+3.77)</f>
        <v>15.08</v>
      </c>
      <c r="AM440" s="55">
        <f>(AL440+3.77)</f>
        <v>18.85</v>
      </c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</row>
    <row r="441" spans="1:70" s="12" customFormat="1" ht="15.75" customHeight="1" outlineLevel="2">
      <c r="A441" s="139">
        <v>16</v>
      </c>
      <c r="B441" s="142" t="s">
        <v>66</v>
      </c>
      <c r="C441" s="39" t="s">
        <v>241</v>
      </c>
      <c r="D441" s="27" t="s">
        <v>70</v>
      </c>
      <c r="E441" s="37" t="s">
        <v>40</v>
      </c>
      <c r="F441" s="49" t="s">
        <v>40</v>
      </c>
      <c r="G441" s="36" t="s">
        <v>28</v>
      </c>
      <c r="H441" s="39">
        <v>1.076</v>
      </c>
      <c r="I441" s="45">
        <v>0.7</v>
      </c>
      <c r="J441" s="55">
        <v>36</v>
      </c>
      <c r="K441" s="55">
        <f t="shared" si="104"/>
        <v>27.115199999999998</v>
      </c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174">
        <f>(AH441+2.71)</f>
        <v>2.71</v>
      </c>
      <c r="AJ441" s="55">
        <f>(AI441+2.71)</f>
        <v>5.42</v>
      </c>
      <c r="AK441" s="55">
        <f>(AJ441+2.71)</f>
        <v>8.129999999999999</v>
      </c>
      <c r="AL441" s="55">
        <f>(AK441+2.71)</f>
        <v>10.84</v>
      </c>
      <c r="AM441" s="55">
        <f>(AL441+2.71)</f>
        <v>13.55</v>
      </c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</row>
    <row r="442" spans="1:70" s="12" customFormat="1" ht="15.75" customHeight="1" outlineLevel="2">
      <c r="A442" s="139">
        <v>17</v>
      </c>
      <c r="B442" s="142" t="s">
        <v>66</v>
      </c>
      <c r="C442" s="39" t="s">
        <v>242</v>
      </c>
      <c r="D442" s="27" t="s">
        <v>335</v>
      </c>
      <c r="E442" s="37" t="s">
        <v>40</v>
      </c>
      <c r="F442" s="49" t="s">
        <v>40</v>
      </c>
      <c r="G442" s="142" t="s">
        <v>91</v>
      </c>
      <c r="H442" s="39">
        <v>2.954</v>
      </c>
      <c r="I442" s="45">
        <v>0.7</v>
      </c>
      <c r="J442" s="55">
        <v>36</v>
      </c>
      <c r="K442" s="55">
        <f t="shared" si="104"/>
        <v>74.4408</v>
      </c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174">
        <f>(AH442+7.44)</f>
        <v>7.44</v>
      </c>
      <c r="AJ442" s="55">
        <f>(AI442+7.44)</f>
        <v>14.88</v>
      </c>
      <c r="AK442" s="55">
        <f>(AJ442+7.44)</f>
        <v>22.32</v>
      </c>
      <c r="AL442" s="55">
        <f>(AK442+7.44)</f>
        <v>29.76</v>
      </c>
      <c r="AM442" s="55">
        <f>(AL442+7.44)</f>
        <v>37.2</v>
      </c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</row>
    <row r="443" spans="1:70" s="12" customFormat="1" ht="15.75" customHeight="1" outlineLevel="2">
      <c r="A443" s="139">
        <v>18</v>
      </c>
      <c r="B443" s="142" t="s">
        <v>66</v>
      </c>
      <c r="C443" s="39" t="s">
        <v>243</v>
      </c>
      <c r="D443" s="27" t="s">
        <v>335</v>
      </c>
      <c r="E443" s="37" t="s">
        <v>40</v>
      </c>
      <c r="F443" s="49" t="s">
        <v>40</v>
      </c>
      <c r="G443" s="142" t="s">
        <v>91</v>
      </c>
      <c r="H443" s="39">
        <v>1.905</v>
      </c>
      <c r="I443" s="45">
        <v>0.7</v>
      </c>
      <c r="J443" s="55">
        <v>36</v>
      </c>
      <c r="K443" s="55">
        <f t="shared" si="104"/>
        <v>48.006</v>
      </c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174">
        <f aca="true" t="shared" si="111" ref="AI443:AO443">(AH443+4.8)</f>
        <v>4.8</v>
      </c>
      <c r="AJ443" s="55">
        <f t="shared" si="111"/>
        <v>9.6</v>
      </c>
      <c r="AK443" s="55">
        <f t="shared" si="111"/>
        <v>14.399999999999999</v>
      </c>
      <c r="AL443" s="55">
        <f t="shared" si="111"/>
        <v>19.2</v>
      </c>
      <c r="AM443" s="55">
        <f t="shared" si="111"/>
        <v>24</v>
      </c>
      <c r="AN443" s="55">
        <f t="shared" si="111"/>
        <v>28.8</v>
      </c>
      <c r="AO443" s="55">
        <f t="shared" si="111"/>
        <v>33.6</v>
      </c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</row>
    <row r="444" spans="1:70" s="12" customFormat="1" ht="15.75" customHeight="1" outlineLevel="2">
      <c r="A444" s="139">
        <v>19</v>
      </c>
      <c r="B444" s="142" t="s">
        <v>66</v>
      </c>
      <c r="C444" s="39" t="s">
        <v>244</v>
      </c>
      <c r="D444" s="27" t="s">
        <v>70</v>
      </c>
      <c r="E444" s="37" t="s">
        <v>40</v>
      </c>
      <c r="F444" s="49" t="s">
        <v>40</v>
      </c>
      <c r="G444" s="142" t="s">
        <v>91</v>
      </c>
      <c r="H444" s="39">
        <v>1.143</v>
      </c>
      <c r="I444" s="45">
        <v>0.7</v>
      </c>
      <c r="J444" s="55">
        <v>36</v>
      </c>
      <c r="K444" s="55">
        <f t="shared" si="104"/>
        <v>28.803599999999996</v>
      </c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174">
        <f>(AH444+2.88)</f>
        <v>2.88</v>
      </c>
      <c r="AJ444" s="55">
        <f>(AI444+2.88)</f>
        <v>5.76</v>
      </c>
      <c r="AK444" s="55">
        <f>(AJ444+2.88)</f>
        <v>8.64</v>
      </c>
      <c r="AL444" s="55">
        <f>(AK444+2.88)</f>
        <v>11.52</v>
      </c>
      <c r="AM444" s="55">
        <f>(AL444+2.88)</f>
        <v>14.399999999999999</v>
      </c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</row>
    <row r="445" spans="1:70" s="12" customFormat="1" ht="15.75" customHeight="1" outlineLevel="2">
      <c r="A445" s="139">
        <v>20</v>
      </c>
      <c r="B445" s="142" t="s">
        <v>66</v>
      </c>
      <c r="C445" s="39" t="s">
        <v>245</v>
      </c>
      <c r="D445" s="27" t="s">
        <v>70</v>
      </c>
      <c r="E445" s="37" t="s">
        <v>40</v>
      </c>
      <c r="F445" s="49" t="s">
        <v>40</v>
      </c>
      <c r="G445" s="142" t="s">
        <v>91</v>
      </c>
      <c r="H445" s="39">
        <v>1.482</v>
      </c>
      <c r="I445" s="45">
        <v>0.7</v>
      </c>
      <c r="J445" s="55">
        <v>36</v>
      </c>
      <c r="K445" s="55">
        <f t="shared" si="104"/>
        <v>37.346399999999996</v>
      </c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174">
        <f>(AH445+3.74)</f>
        <v>3.74</v>
      </c>
      <c r="AJ445" s="55">
        <f>(AI445+3.74)</f>
        <v>7.48</v>
      </c>
      <c r="AK445" s="55">
        <f>(AJ445+3.74)</f>
        <v>11.22</v>
      </c>
      <c r="AL445" s="55">
        <f>(AK445+3.74)</f>
        <v>14.96</v>
      </c>
      <c r="AM445" s="55">
        <f>(AL445+3.74)</f>
        <v>18.700000000000003</v>
      </c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</row>
    <row r="446" spans="1:70" s="12" customFormat="1" ht="15.75" customHeight="1" outlineLevel="2">
      <c r="A446" s="139">
        <v>21</v>
      </c>
      <c r="B446" s="142" t="s">
        <v>66</v>
      </c>
      <c r="C446" s="39" t="s">
        <v>246</v>
      </c>
      <c r="D446" s="27" t="s">
        <v>70</v>
      </c>
      <c r="E446" s="37" t="s">
        <v>40</v>
      </c>
      <c r="F446" s="49" t="s">
        <v>40</v>
      </c>
      <c r="G446" s="142" t="s">
        <v>91</v>
      </c>
      <c r="H446" s="39">
        <v>1.704</v>
      </c>
      <c r="I446" s="45">
        <v>0.7</v>
      </c>
      <c r="J446" s="55">
        <v>36</v>
      </c>
      <c r="K446" s="55">
        <f t="shared" si="104"/>
        <v>42.940799999999996</v>
      </c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174">
        <f aca="true" t="shared" si="112" ref="AI446:AO446">(AH446+4.29)</f>
        <v>4.29</v>
      </c>
      <c r="AJ446" s="55">
        <f t="shared" si="112"/>
        <v>8.58</v>
      </c>
      <c r="AK446" s="55">
        <f t="shared" si="112"/>
        <v>12.870000000000001</v>
      </c>
      <c r="AL446" s="55">
        <f t="shared" si="112"/>
        <v>17.16</v>
      </c>
      <c r="AM446" s="55">
        <f t="shared" si="112"/>
        <v>21.45</v>
      </c>
      <c r="AN446" s="55">
        <f t="shared" si="112"/>
        <v>25.74</v>
      </c>
      <c r="AO446" s="55">
        <f t="shared" si="112"/>
        <v>30.029999999999998</v>
      </c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</row>
    <row r="447" spans="1:70" s="12" customFormat="1" ht="15.75" customHeight="1" outlineLevel="2">
      <c r="A447" s="139">
        <v>22</v>
      </c>
      <c r="B447" s="142" t="s">
        <v>66</v>
      </c>
      <c r="C447" s="39" t="s">
        <v>247</v>
      </c>
      <c r="D447" s="27" t="s">
        <v>70</v>
      </c>
      <c r="E447" s="37" t="s">
        <v>40</v>
      </c>
      <c r="F447" s="49" t="s">
        <v>40</v>
      </c>
      <c r="G447" s="45" t="s">
        <v>91</v>
      </c>
      <c r="H447" s="39">
        <v>1.438</v>
      </c>
      <c r="I447" s="45">
        <v>0.7</v>
      </c>
      <c r="J447" s="55">
        <v>36</v>
      </c>
      <c r="K447" s="55">
        <f t="shared" si="104"/>
        <v>36.2376</v>
      </c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174">
        <f>(AH447+3.62)</f>
        <v>3.62</v>
      </c>
      <c r="AJ447" s="55">
        <f>(AI447+3.62)</f>
        <v>7.24</v>
      </c>
      <c r="AK447" s="55">
        <f>(AJ447+3.62)</f>
        <v>10.86</v>
      </c>
      <c r="AL447" s="55">
        <f>(AK447+3.62)</f>
        <v>14.48</v>
      </c>
      <c r="AM447" s="55">
        <f>(AL447+3.62)</f>
        <v>18.1</v>
      </c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</row>
    <row r="448" spans="1:70" s="12" customFormat="1" ht="15.75" customHeight="1" outlineLevel="2">
      <c r="A448" s="139">
        <v>23</v>
      </c>
      <c r="B448" s="142" t="s">
        <v>66</v>
      </c>
      <c r="C448" s="24" t="s">
        <v>167</v>
      </c>
      <c r="D448" s="27" t="s">
        <v>70</v>
      </c>
      <c r="E448" s="28" t="s">
        <v>27</v>
      </c>
      <c r="F448" s="35" t="s">
        <v>40</v>
      </c>
      <c r="G448" s="142" t="s">
        <v>91</v>
      </c>
      <c r="H448" s="27">
        <v>9.363</v>
      </c>
      <c r="I448" s="45">
        <v>0.7</v>
      </c>
      <c r="J448" s="55">
        <v>36</v>
      </c>
      <c r="K448" s="55">
        <f t="shared" si="104"/>
        <v>235.94759999999997</v>
      </c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174">
        <f>(AH448+23.6)</f>
        <v>23.6</v>
      </c>
      <c r="AJ448" s="55">
        <f>(AI448+23.6)</f>
        <v>47.2</v>
      </c>
      <c r="AK448" s="55">
        <f>(AJ448+23.6)</f>
        <v>70.80000000000001</v>
      </c>
      <c r="AL448" s="55">
        <f>(AK448+23.6)</f>
        <v>94.4</v>
      </c>
      <c r="AM448" s="55">
        <f>(AL448+23.6)</f>
        <v>118</v>
      </c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</row>
    <row r="449" spans="1:70" s="12" customFormat="1" ht="15.75" customHeight="1" outlineLevel="2">
      <c r="A449" s="139">
        <v>24</v>
      </c>
      <c r="B449" s="142" t="s">
        <v>66</v>
      </c>
      <c r="C449" s="39" t="s">
        <v>248</v>
      </c>
      <c r="D449" s="27" t="s">
        <v>70</v>
      </c>
      <c r="E449" s="37" t="s">
        <v>40</v>
      </c>
      <c r="F449" s="35" t="s">
        <v>40</v>
      </c>
      <c r="G449" s="142" t="s">
        <v>91</v>
      </c>
      <c r="H449" s="39">
        <v>1.135</v>
      </c>
      <c r="I449" s="45">
        <v>0.7</v>
      </c>
      <c r="J449" s="55">
        <v>36</v>
      </c>
      <c r="K449" s="55">
        <f t="shared" si="104"/>
        <v>28.602</v>
      </c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174">
        <f aca="true" t="shared" si="113" ref="AI449:AO449">(AH449+2.86)</f>
        <v>2.86</v>
      </c>
      <c r="AJ449" s="55">
        <f t="shared" si="113"/>
        <v>5.72</v>
      </c>
      <c r="AK449" s="55">
        <f t="shared" si="113"/>
        <v>8.58</v>
      </c>
      <c r="AL449" s="55">
        <f t="shared" si="113"/>
        <v>11.44</v>
      </c>
      <c r="AM449" s="55">
        <f t="shared" si="113"/>
        <v>14.299999999999999</v>
      </c>
      <c r="AN449" s="55">
        <f t="shared" si="113"/>
        <v>17.16</v>
      </c>
      <c r="AO449" s="55">
        <f t="shared" si="113"/>
        <v>20.02</v>
      </c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</row>
    <row r="450" spans="1:70" s="12" customFormat="1" ht="15.75" customHeight="1" outlineLevel="2">
      <c r="A450" s="139">
        <v>25</v>
      </c>
      <c r="B450" s="142" t="s">
        <v>66</v>
      </c>
      <c r="C450" s="39" t="s">
        <v>249</v>
      </c>
      <c r="D450" s="27" t="s">
        <v>70</v>
      </c>
      <c r="E450" s="37" t="s">
        <v>40</v>
      </c>
      <c r="F450" s="35" t="s">
        <v>40</v>
      </c>
      <c r="G450" s="142" t="s">
        <v>91</v>
      </c>
      <c r="H450" s="39">
        <v>1.428</v>
      </c>
      <c r="I450" s="45">
        <v>0.7</v>
      </c>
      <c r="J450" s="55">
        <v>36</v>
      </c>
      <c r="K450" s="55">
        <f t="shared" si="104"/>
        <v>35.9856</v>
      </c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174">
        <f aca="true" t="shared" si="114" ref="AI450:AO450">(AH450+3.6)</f>
        <v>3.6</v>
      </c>
      <c r="AJ450" s="55">
        <f t="shared" si="114"/>
        <v>7.2</v>
      </c>
      <c r="AK450" s="55">
        <f t="shared" si="114"/>
        <v>10.8</v>
      </c>
      <c r="AL450" s="55">
        <f t="shared" si="114"/>
        <v>14.4</v>
      </c>
      <c r="AM450" s="55">
        <f t="shared" si="114"/>
        <v>18</v>
      </c>
      <c r="AN450" s="55">
        <f t="shared" si="114"/>
        <v>21.6</v>
      </c>
      <c r="AO450" s="55">
        <f t="shared" si="114"/>
        <v>25.200000000000003</v>
      </c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</row>
    <row r="451" spans="1:70" s="12" customFormat="1" ht="15.75" customHeight="1" outlineLevel="2">
      <c r="A451" s="139">
        <v>26</v>
      </c>
      <c r="B451" s="142" t="s">
        <v>66</v>
      </c>
      <c r="C451" s="39" t="s">
        <v>250</v>
      </c>
      <c r="D451" s="27" t="s">
        <v>70</v>
      </c>
      <c r="E451" s="37" t="s">
        <v>40</v>
      </c>
      <c r="F451" s="35" t="s">
        <v>40</v>
      </c>
      <c r="G451" s="142" t="s">
        <v>91</v>
      </c>
      <c r="H451" s="39">
        <v>1.248</v>
      </c>
      <c r="I451" s="45">
        <v>0.7</v>
      </c>
      <c r="J451" s="55">
        <v>36</v>
      </c>
      <c r="K451" s="55">
        <f t="shared" si="104"/>
        <v>31.449599999999997</v>
      </c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174">
        <f aca="true" t="shared" si="115" ref="AI451:AO451">(AH451+3.15)</f>
        <v>3.15</v>
      </c>
      <c r="AJ451" s="55">
        <f t="shared" si="115"/>
        <v>6.3</v>
      </c>
      <c r="AK451" s="55">
        <f t="shared" si="115"/>
        <v>9.45</v>
      </c>
      <c r="AL451" s="55">
        <f t="shared" si="115"/>
        <v>12.6</v>
      </c>
      <c r="AM451" s="55">
        <f t="shared" si="115"/>
        <v>15.75</v>
      </c>
      <c r="AN451" s="55">
        <f t="shared" si="115"/>
        <v>18.9</v>
      </c>
      <c r="AO451" s="55">
        <f t="shared" si="115"/>
        <v>22.049999999999997</v>
      </c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</row>
    <row r="452" spans="1:70" s="12" customFormat="1" ht="15.75" customHeight="1" outlineLevel="2">
      <c r="A452" s="139">
        <v>27</v>
      </c>
      <c r="B452" s="142" t="s">
        <v>66</v>
      </c>
      <c r="C452" s="39" t="s">
        <v>251</v>
      </c>
      <c r="D452" s="27" t="s">
        <v>70</v>
      </c>
      <c r="E452" s="37" t="s">
        <v>40</v>
      </c>
      <c r="F452" s="35" t="s">
        <v>40</v>
      </c>
      <c r="G452" s="142" t="s">
        <v>91</v>
      </c>
      <c r="H452" s="39">
        <v>1.274</v>
      </c>
      <c r="I452" s="45">
        <v>0.7</v>
      </c>
      <c r="J452" s="55">
        <v>36</v>
      </c>
      <c r="K452" s="55">
        <f t="shared" si="104"/>
        <v>32.1048</v>
      </c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174">
        <f aca="true" t="shared" si="116" ref="AI452:AO452">(AH452+3.21)</f>
        <v>3.21</v>
      </c>
      <c r="AJ452" s="55">
        <f t="shared" si="116"/>
        <v>6.42</v>
      </c>
      <c r="AK452" s="55">
        <f t="shared" si="116"/>
        <v>9.629999999999999</v>
      </c>
      <c r="AL452" s="55">
        <f t="shared" si="116"/>
        <v>12.84</v>
      </c>
      <c r="AM452" s="55">
        <f t="shared" si="116"/>
        <v>16.05</v>
      </c>
      <c r="AN452" s="55">
        <f t="shared" si="116"/>
        <v>19.26</v>
      </c>
      <c r="AO452" s="55">
        <f t="shared" si="116"/>
        <v>22.470000000000002</v>
      </c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</row>
    <row r="453" spans="1:70" s="12" customFormat="1" ht="15.75" customHeight="1" outlineLevel="2">
      <c r="A453" s="139">
        <v>28</v>
      </c>
      <c r="B453" s="142" t="s">
        <v>66</v>
      </c>
      <c r="C453" s="24" t="s">
        <v>168</v>
      </c>
      <c r="D453" s="27" t="s">
        <v>70</v>
      </c>
      <c r="E453" s="28" t="s">
        <v>27</v>
      </c>
      <c r="F453" s="49" t="s">
        <v>40</v>
      </c>
      <c r="G453" s="45" t="s">
        <v>91</v>
      </c>
      <c r="H453" s="76">
        <v>15.1</v>
      </c>
      <c r="I453" s="45">
        <v>1.2</v>
      </c>
      <c r="J453" s="55">
        <v>36</v>
      </c>
      <c r="K453" s="55">
        <f t="shared" si="104"/>
        <v>652.3199999999999</v>
      </c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18"/>
      <c r="AB453" s="18"/>
      <c r="AC453" s="18"/>
      <c r="AD453" s="18"/>
      <c r="AE453" s="18"/>
      <c r="AF453" s="18"/>
      <c r="AG453" s="18"/>
      <c r="AH453" s="18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</row>
    <row r="454" spans="1:70" s="12" customFormat="1" ht="15.75" customHeight="1" outlineLevel="2">
      <c r="A454" s="139">
        <v>29</v>
      </c>
      <c r="B454" s="142" t="s">
        <v>66</v>
      </c>
      <c r="C454" s="39" t="s">
        <v>514</v>
      </c>
      <c r="D454" s="27" t="s">
        <v>70</v>
      </c>
      <c r="E454" s="27" t="s">
        <v>40</v>
      </c>
      <c r="F454" s="45" t="s">
        <v>40</v>
      </c>
      <c r="G454" s="36" t="s">
        <v>33</v>
      </c>
      <c r="H454" s="27">
        <v>15.702</v>
      </c>
      <c r="I454" s="45">
        <v>1.2</v>
      </c>
      <c r="J454" s="55">
        <v>36</v>
      </c>
      <c r="K454" s="55">
        <f t="shared" si="104"/>
        <v>678.3263999999999</v>
      </c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18"/>
      <c r="AB454" s="18"/>
      <c r="AC454" s="18"/>
      <c r="AD454" s="18"/>
      <c r="AE454" s="18"/>
      <c r="AF454" s="18"/>
      <c r="AG454" s="18"/>
      <c r="AH454" s="18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</row>
    <row r="455" spans="1:70" s="12" customFormat="1" ht="15.75" customHeight="1" outlineLevel="2">
      <c r="A455" s="139">
        <v>30</v>
      </c>
      <c r="B455" s="142" t="s">
        <v>66</v>
      </c>
      <c r="C455" s="39" t="s">
        <v>252</v>
      </c>
      <c r="D455" s="27" t="s">
        <v>336</v>
      </c>
      <c r="E455" s="37" t="s">
        <v>18</v>
      </c>
      <c r="F455" s="49" t="s">
        <v>18</v>
      </c>
      <c r="G455" s="38" t="s">
        <v>28</v>
      </c>
      <c r="H455" s="39">
        <v>2.238</v>
      </c>
      <c r="I455" s="45">
        <v>0.7</v>
      </c>
      <c r="J455" s="55">
        <v>36</v>
      </c>
      <c r="K455" s="55">
        <f t="shared" si="104"/>
        <v>56.3976</v>
      </c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174">
        <f>(AH455+5.64)</f>
        <v>5.64</v>
      </c>
      <c r="AJ455" s="55">
        <f>(AI455+5.64)</f>
        <v>11.28</v>
      </c>
      <c r="AK455" s="55">
        <f>(AJ455+5.64)</f>
        <v>16.919999999999998</v>
      </c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</row>
    <row r="456" spans="1:70" s="12" customFormat="1" ht="15.75" customHeight="1" outlineLevel="2">
      <c r="A456" s="139">
        <v>31</v>
      </c>
      <c r="B456" s="142" t="s">
        <v>66</v>
      </c>
      <c r="C456" s="39" t="s">
        <v>253</v>
      </c>
      <c r="D456" s="27" t="s">
        <v>70</v>
      </c>
      <c r="E456" s="37" t="s">
        <v>40</v>
      </c>
      <c r="F456" s="49" t="s">
        <v>40</v>
      </c>
      <c r="G456" s="45" t="s">
        <v>91</v>
      </c>
      <c r="H456" s="78">
        <v>1.41</v>
      </c>
      <c r="I456" s="45">
        <v>0.7</v>
      </c>
      <c r="J456" s="55">
        <v>36</v>
      </c>
      <c r="K456" s="55">
        <f t="shared" si="104"/>
        <v>35.532</v>
      </c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174">
        <f aca="true" t="shared" si="117" ref="AI456:AO456">(AH456+3.55)</f>
        <v>3.55</v>
      </c>
      <c r="AJ456" s="55">
        <f t="shared" si="117"/>
        <v>7.1</v>
      </c>
      <c r="AK456" s="55">
        <f t="shared" si="117"/>
        <v>10.649999999999999</v>
      </c>
      <c r="AL456" s="55">
        <f t="shared" si="117"/>
        <v>14.2</v>
      </c>
      <c r="AM456" s="55">
        <f t="shared" si="117"/>
        <v>17.75</v>
      </c>
      <c r="AN456" s="55">
        <f t="shared" si="117"/>
        <v>21.3</v>
      </c>
      <c r="AO456" s="55">
        <f t="shared" si="117"/>
        <v>24.85</v>
      </c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</row>
    <row r="457" spans="1:70" s="12" customFormat="1" ht="15.75" customHeight="1" outlineLevel="2">
      <c r="A457" s="139">
        <v>32</v>
      </c>
      <c r="B457" s="142" t="s">
        <v>66</v>
      </c>
      <c r="C457" s="39" t="s">
        <v>254</v>
      </c>
      <c r="D457" s="27" t="s">
        <v>70</v>
      </c>
      <c r="E457" s="37" t="s">
        <v>40</v>
      </c>
      <c r="F457" s="49" t="s">
        <v>40</v>
      </c>
      <c r="G457" s="45" t="s">
        <v>91</v>
      </c>
      <c r="H457" s="39">
        <v>4.999</v>
      </c>
      <c r="I457" s="45">
        <v>0.7</v>
      </c>
      <c r="J457" s="55">
        <v>36</v>
      </c>
      <c r="K457" s="55">
        <f t="shared" si="104"/>
        <v>125.97479999999997</v>
      </c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174">
        <f aca="true" t="shared" si="118" ref="AI457:AO457">(AH457+12.6)</f>
        <v>12.6</v>
      </c>
      <c r="AJ457" s="55">
        <f t="shared" si="118"/>
        <v>25.2</v>
      </c>
      <c r="AK457" s="55">
        <f t="shared" si="118"/>
        <v>37.8</v>
      </c>
      <c r="AL457" s="55">
        <f t="shared" si="118"/>
        <v>50.4</v>
      </c>
      <c r="AM457" s="55">
        <f t="shared" si="118"/>
        <v>63</v>
      </c>
      <c r="AN457" s="55">
        <f t="shared" si="118"/>
        <v>75.6</v>
      </c>
      <c r="AO457" s="55">
        <f t="shared" si="118"/>
        <v>88.19999999999999</v>
      </c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</row>
    <row r="458" spans="1:70" s="12" customFormat="1" ht="15.75" customHeight="1" outlineLevel="2">
      <c r="A458" s="139">
        <v>33</v>
      </c>
      <c r="B458" s="119" t="s">
        <v>66</v>
      </c>
      <c r="C458" s="39" t="s">
        <v>255</v>
      </c>
      <c r="D458" s="104" t="s">
        <v>70</v>
      </c>
      <c r="E458" s="37" t="s">
        <v>40</v>
      </c>
      <c r="F458" s="35" t="s">
        <v>40</v>
      </c>
      <c r="G458" s="123" t="s">
        <v>91</v>
      </c>
      <c r="H458" s="39">
        <v>1.589</v>
      </c>
      <c r="I458" s="45">
        <v>0.7</v>
      </c>
      <c r="J458" s="55">
        <v>36</v>
      </c>
      <c r="K458" s="55">
        <f t="shared" si="104"/>
        <v>40.04279999999999</v>
      </c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174">
        <f aca="true" t="shared" si="119" ref="AI458:AR458">(AH458+4)</f>
        <v>4</v>
      </c>
      <c r="AJ458" s="55">
        <f t="shared" si="119"/>
        <v>8</v>
      </c>
      <c r="AK458" s="55">
        <f t="shared" si="119"/>
        <v>12</v>
      </c>
      <c r="AL458" s="55">
        <f t="shared" si="119"/>
        <v>16</v>
      </c>
      <c r="AM458" s="55">
        <f t="shared" si="119"/>
        <v>20</v>
      </c>
      <c r="AN458" s="55">
        <f t="shared" si="119"/>
        <v>24</v>
      </c>
      <c r="AO458" s="55">
        <f t="shared" si="119"/>
        <v>28</v>
      </c>
      <c r="AP458" s="55">
        <f t="shared" si="119"/>
        <v>32</v>
      </c>
      <c r="AQ458" s="55">
        <f t="shared" si="119"/>
        <v>36</v>
      </c>
      <c r="AR458" s="55">
        <f t="shared" si="119"/>
        <v>40</v>
      </c>
      <c r="AS458" s="55"/>
      <c r="AT458" s="55"/>
      <c r="AU458" s="55"/>
      <c r="AV458" s="55"/>
      <c r="AW458" s="55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</row>
    <row r="459" spans="1:70" s="12" customFormat="1" ht="15.75" customHeight="1" outlineLevel="2">
      <c r="A459" s="139">
        <v>34</v>
      </c>
      <c r="B459" s="119" t="s">
        <v>66</v>
      </c>
      <c r="C459" s="39" t="s">
        <v>256</v>
      </c>
      <c r="D459" s="104" t="s">
        <v>70</v>
      </c>
      <c r="E459" s="37" t="s">
        <v>40</v>
      </c>
      <c r="F459" s="35" t="s">
        <v>40</v>
      </c>
      <c r="G459" s="123" t="s">
        <v>91</v>
      </c>
      <c r="H459" s="39">
        <v>3.52</v>
      </c>
      <c r="I459" s="45">
        <v>0.7</v>
      </c>
      <c r="J459" s="55">
        <v>36</v>
      </c>
      <c r="K459" s="55">
        <f t="shared" si="104"/>
        <v>88.704</v>
      </c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174">
        <f aca="true" t="shared" si="120" ref="AI459:AO459">(AH459+8.87)</f>
        <v>8.87</v>
      </c>
      <c r="AJ459" s="55">
        <f t="shared" si="120"/>
        <v>17.74</v>
      </c>
      <c r="AK459" s="55">
        <f t="shared" si="120"/>
        <v>26.61</v>
      </c>
      <c r="AL459" s="55">
        <f t="shared" si="120"/>
        <v>35.48</v>
      </c>
      <c r="AM459" s="55">
        <f t="shared" si="120"/>
        <v>44.349999999999994</v>
      </c>
      <c r="AN459" s="55">
        <f t="shared" si="120"/>
        <v>53.21999999999999</v>
      </c>
      <c r="AO459" s="55">
        <f t="shared" si="120"/>
        <v>62.08999999999999</v>
      </c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</row>
    <row r="460" spans="1:70" s="12" customFormat="1" ht="15.75" customHeight="1" outlineLevel="2">
      <c r="A460" s="139">
        <v>35</v>
      </c>
      <c r="B460" s="119" t="s">
        <v>66</v>
      </c>
      <c r="C460" s="39" t="s">
        <v>257</v>
      </c>
      <c r="D460" s="104" t="s">
        <v>70</v>
      </c>
      <c r="E460" s="37" t="s">
        <v>40</v>
      </c>
      <c r="F460" s="35" t="s">
        <v>40</v>
      </c>
      <c r="G460" s="123" t="s">
        <v>91</v>
      </c>
      <c r="H460" s="39">
        <v>1.428</v>
      </c>
      <c r="I460" s="45">
        <v>0.7</v>
      </c>
      <c r="J460" s="55">
        <v>36</v>
      </c>
      <c r="K460" s="55">
        <f t="shared" si="104"/>
        <v>35.9856</v>
      </c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174">
        <f aca="true" t="shared" si="121" ref="AI460:AR460">(AH460+3.6)</f>
        <v>3.6</v>
      </c>
      <c r="AJ460" s="55">
        <f t="shared" si="121"/>
        <v>7.2</v>
      </c>
      <c r="AK460" s="55">
        <f t="shared" si="121"/>
        <v>10.8</v>
      </c>
      <c r="AL460" s="55">
        <f t="shared" si="121"/>
        <v>14.4</v>
      </c>
      <c r="AM460" s="55">
        <f t="shared" si="121"/>
        <v>18</v>
      </c>
      <c r="AN460" s="55">
        <f t="shared" si="121"/>
        <v>21.6</v>
      </c>
      <c r="AO460" s="55">
        <f t="shared" si="121"/>
        <v>25.200000000000003</v>
      </c>
      <c r="AP460" s="55">
        <f t="shared" si="121"/>
        <v>28.800000000000004</v>
      </c>
      <c r="AQ460" s="55">
        <f t="shared" si="121"/>
        <v>32.400000000000006</v>
      </c>
      <c r="AR460" s="55">
        <f t="shared" si="121"/>
        <v>36.00000000000001</v>
      </c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</row>
    <row r="461" spans="1:70" s="12" customFormat="1" ht="15.75" customHeight="1" outlineLevel="2">
      <c r="A461" s="139">
        <v>36</v>
      </c>
      <c r="B461" s="119" t="s">
        <v>66</v>
      </c>
      <c r="C461" s="39" t="s">
        <v>258</v>
      </c>
      <c r="D461" s="104" t="s">
        <v>337</v>
      </c>
      <c r="E461" s="37" t="s">
        <v>18</v>
      </c>
      <c r="F461" s="35" t="s">
        <v>18</v>
      </c>
      <c r="G461" s="105" t="s">
        <v>28</v>
      </c>
      <c r="H461" s="39">
        <v>1.481</v>
      </c>
      <c r="I461" s="45">
        <v>0.7</v>
      </c>
      <c r="J461" s="55">
        <v>36</v>
      </c>
      <c r="K461" s="55">
        <f t="shared" si="104"/>
        <v>37.3212</v>
      </c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174">
        <f aca="true" t="shared" si="122" ref="AI461:AP461">(AH461+3.73)</f>
        <v>3.73</v>
      </c>
      <c r="AJ461" s="55">
        <f t="shared" si="122"/>
        <v>7.46</v>
      </c>
      <c r="AK461" s="55">
        <f t="shared" si="122"/>
        <v>11.19</v>
      </c>
      <c r="AL461" s="55">
        <f t="shared" si="122"/>
        <v>14.92</v>
      </c>
      <c r="AM461" s="55">
        <f t="shared" si="122"/>
        <v>18.65</v>
      </c>
      <c r="AN461" s="55">
        <f t="shared" si="122"/>
        <v>22.38</v>
      </c>
      <c r="AO461" s="55">
        <f t="shared" si="122"/>
        <v>26.11</v>
      </c>
      <c r="AP461" s="55">
        <f t="shared" si="122"/>
        <v>29.84</v>
      </c>
      <c r="AQ461" s="55"/>
      <c r="AR461" s="55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</row>
    <row r="462" spans="1:70" s="12" customFormat="1" ht="15.75" customHeight="1" outlineLevel="2">
      <c r="A462" s="139">
        <v>37</v>
      </c>
      <c r="B462" s="119" t="s">
        <v>66</v>
      </c>
      <c r="C462" s="39" t="s">
        <v>259</v>
      </c>
      <c r="D462" s="104" t="s">
        <v>337</v>
      </c>
      <c r="E462" s="37" t="s">
        <v>18</v>
      </c>
      <c r="F462" s="35" t="s">
        <v>18</v>
      </c>
      <c r="G462" s="123" t="s">
        <v>91</v>
      </c>
      <c r="H462" s="39">
        <v>1.399</v>
      </c>
      <c r="I462" s="45">
        <v>0.7</v>
      </c>
      <c r="J462" s="55">
        <v>36</v>
      </c>
      <c r="K462" s="55">
        <f t="shared" si="104"/>
        <v>35.254799999999996</v>
      </c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174">
        <f aca="true" t="shared" si="123" ref="AI462:AO462">(AH462+3.53)</f>
        <v>3.53</v>
      </c>
      <c r="AJ462" s="55">
        <f t="shared" si="123"/>
        <v>7.06</v>
      </c>
      <c r="AK462" s="55">
        <f t="shared" si="123"/>
        <v>10.59</v>
      </c>
      <c r="AL462" s="55">
        <f t="shared" si="123"/>
        <v>14.12</v>
      </c>
      <c r="AM462" s="55">
        <f t="shared" si="123"/>
        <v>17.65</v>
      </c>
      <c r="AN462" s="55">
        <f t="shared" si="123"/>
        <v>21.18</v>
      </c>
      <c r="AO462" s="55">
        <f t="shared" si="123"/>
        <v>24.71</v>
      </c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</row>
    <row r="463" spans="1:70" s="12" customFormat="1" ht="15.75" customHeight="1" outlineLevel="2">
      <c r="A463" s="139">
        <v>38</v>
      </c>
      <c r="B463" s="119" t="s">
        <v>66</v>
      </c>
      <c r="C463" s="39" t="s">
        <v>260</v>
      </c>
      <c r="D463" s="104" t="s">
        <v>338</v>
      </c>
      <c r="E463" s="37" t="s">
        <v>16</v>
      </c>
      <c r="F463" s="35" t="s">
        <v>16</v>
      </c>
      <c r="G463" s="105" t="s">
        <v>28</v>
      </c>
      <c r="H463" s="39">
        <v>1.189</v>
      </c>
      <c r="I463" s="49">
        <v>1.2</v>
      </c>
      <c r="J463" s="55">
        <v>36</v>
      </c>
      <c r="K463" s="55">
        <f t="shared" si="104"/>
        <v>51.3648</v>
      </c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</row>
    <row r="464" spans="1:70" s="12" customFormat="1" ht="15.75" customHeight="1" outlineLevel="2">
      <c r="A464" s="139">
        <v>39</v>
      </c>
      <c r="B464" s="119" t="s">
        <v>66</v>
      </c>
      <c r="C464" s="39" t="s">
        <v>261</v>
      </c>
      <c r="D464" s="104" t="s">
        <v>338</v>
      </c>
      <c r="E464" s="37" t="s">
        <v>16</v>
      </c>
      <c r="F464" s="35" t="s">
        <v>16</v>
      </c>
      <c r="G464" s="105" t="s">
        <v>28</v>
      </c>
      <c r="H464" s="39">
        <v>2.397</v>
      </c>
      <c r="I464" s="49">
        <v>1.2</v>
      </c>
      <c r="J464" s="55">
        <v>36</v>
      </c>
      <c r="K464" s="55">
        <f t="shared" si="104"/>
        <v>103.5504</v>
      </c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18"/>
      <c r="AB464" s="18"/>
      <c r="AC464" s="18"/>
      <c r="AD464" s="18"/>
      <c r="AE464" s="18"/>
      <c r="AF464" s="18"/>
      <c r="AG464" s="18"/>
      <c r="AH464" s="18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</row>
    <row r="465" spans="1:70" s="12" customFormat="1" ht="15.75" customHeight="1" outlineLevel="2">
      <c r="A465" s="139">
        <v>40</v>
      </c>
      <c r="B465" s="119" t="s">
        <v>66</v>
      </c>
      <c r="C465" s="39" t="s">
        <v>262</v>
      </c>
      <c r="D465" s="104" t="s">
        <v>338</v>
      </c>
      <c r="E465" s="37" t="s">
        <v>16</v>
      </c>
      <c r="F465" s="35" t="s">
        <v>16</v>
      </c>
      <c r="G465" s="105" t="s">
        <v>28</v>
      </c>
      <c r="H465" s="39">
        <v>1.527</v>
      </c>
      <c r="I465" s="49">
        <v>1.2</v>
      </c>
      <c r="J465" s="55">
        <v>36</v>
      </c>
      <c r="K465" s="55">
        <f t="shared" si="104"/>
        <v>65.9664</v>
      </c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18"/>
      <c r="AB465" s="18"/>
      <c r="AC465" s="18"/>
      <c r="AD465" s="18"/>
      <c r="AE465" s="18"/>
      <c r="AF465" s="18"/>
      <c r="AG465" s="18"/>
      <c r="AH465" s="18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</row>
    <row r="466" spans="1:70" s="12" customFormat="1" ht="15.75" customHeight="1" outlineLevel="1">
      <c r="A466" s="139"/>
      <c r="B466" s="125" t="s">
        <v>590</v>
      </c>
      <c r="C466" s="39"/>
      <c r="D466" s="104"/>
      <c r="E466" s="37"/>
      <c r="F466" s="49"/>
      <c r="G466" s="105"/>
      <c r="H466" s="85">
        <f>SUBTOTAL(9,H426:H465)</f>
        <v>269.61299999999994</v>
      </c>
      <c r="I466" s="49"/>
      <c r="J466" s="54"/>
      <c r="K466" s="55"/>
      <c r="L466" s="62"/>
      <c r="M466" s="62"/>
      <c r="N466" s="97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</row>
    <row r="467" spans="1:70" s="12" customFormat="1" ht="15.75" customHeight="1" outlineLevel="1">
      <c r="A467" s="139"/>
      <c r="B467" s="48"/>
      <c r="C467" s="39"/>
      <c r="D467" s="27"/>
      <c r="E467" s="37"/>
      <c r="F467" s="49"/>
      <c r="G467" s="38"/>
      <c r="H467" s="85"/>
      <c r="I467" s="49"/>
      <c r="J467" s="54"/>
      <c r="K467" s="55"/>
      <c r="L467" s="62"/>
      <c r="M467" s="62"/>
      <c r="N467" s="97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</row>
    <row r="468" spans="1:34" s="2" customFormat="1" ht="15.75" customHeight="1" outlineLevel="1">
      <c r="A468" s="139"/>
      <c r="B468" s="142"/>
      <c r="C468" s="69"/>
      <c r="D468" s="27"/>
      <c r="E468" s="28"/>
      <c r="F468" s="142"/>
      <c r="G468" s="142"/>
      <c r="H468" s="27"/>
      <c r="I468" s="45"/>
      <c r="J468" s="54"/>
      <c r="K468" s="55"/>
      <c r="L468" s="62"/>
      <c r="M468" s="62"/>
      <c r="N468" s="97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</row>
    <row r="469" spans="1:34" s="2" customFormat="1" ht="15.75" customHeight="1" outlineLevel="1">
      <c r="A469" s="139"/>
      <c r="B469" s="142"/>
      <c r="C469" s="69"/>
      <c r="D469" s="27"/>
      <c r="E469" s="28"/>
      <c r="F469" s="142"/>
      <c r="G469" s="142"/>
      <c r="H469" s="27"/>
      <c r="I469" s="45"/>
      <c r="J469" s="54"/>
      <c r="K469" s="55"/>
      <c r="L469" s="62"/>
      <c r="M469" s="62"/>
      <c r="N469" s="97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</row>
    <row r="470" spans="1:34" s="2" customFormat="1" ht="15.75" customHeight="1" outlineLevel="2">
      <c r="A470" s="139">
        <v>1</v>
      </c>
      <c r="B470" s="142" t="s">
        <v>71</v>
      </c>
      <c r="C470" s="69" t="s">
        <v>72</v>
      </c>
      <c r="D470" s="27" t="s">
        <v>73</v>
      </c>
      <c r="E470" s="28" t="s">
        <v>18</v>
      </c>
      <c r="F470" s="142" t="s">
        <v>18</v>
      </c>
      <c r="G470" s="142" t="s">
        <v>74</v>
      </c>
      <c r="H470" s="76">
        <v>3.831</v>
      </c>
      <c r="I470" s="45">
        <v>0.7</v>
      </c>
      <c r="J470" s="55">
        <v>34</v>
      </c>
      <c r="K470" s="55">
        <f t="shared" si="104"/>
        <v>91.17779999999999</v>
      </c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</row>
    <row r="471" spans="1:38" s="2" customFormat="1" ht="15.75" customHeight="1" outlineLevel="2">
      <c r="A471" s="139">
        <v>2</v>
      </c>
      <c r="B471" s="142" t="s">
        <v>71</v>
      </c>
      <c r="C471" s="69" t="s">
        <v>75</v>
      </c>
      <c r="D471" s="27" t="s">
        <v>73</v>
      </c>
      <c r="E471" s="28" t="s">
        <v>18</v>
      </c>
      <c r="F471" s="142" t="s">
        <v>18</v>
      </c>
      <c r="G471" s="142" t="s">
        <v>74</v>
      </c>
      <c r="H471" s="76">
        <v>2.574</v>
      </c>
      <c r="I471" s="45">
        <v>0.7</v>
      </c>
      <c r="J471" s="55">
        <v>34</v>
      </c>
      <c r="K471" s="55">
        <f t="shared" si="104"/>
        <v>61.261199999999995</v>
      </c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174">
        <f>(AH471+6.13)</f>
        <v>6.13</v>
      </c>
      <c r="AJ471" s="55">
        <f>(AI471+6.13)</f>
        <v>12.26</v>
      </c>
      <c r="AK471" s="55">
        <f>(AJ471+6.13)</f>
        <v>18.39</v>
      </c>
      <c r="AL471" s="55">
        <f>(AK471+6.13)</f>
        <v>24.52</v>
      </c>
    </row>
    <row r="472" spans="1:34" s="2" customFormat="1" ht="15.75" customHeight="1" outlineLevel="2">
      <c r="A472" s="139">
        <v>3</v>
      </c>
      <c r="B472" s="142" t="s">
        <v>71</v>
      </c>
      <c r="C472" s="69" t="s">
        <v>76</v>
      </c>
      <c r="D472" s="27" t="s">
        <v>73</v>
      </c>
      <c r="E472" s="28" t="s">
        <v>18</v>
      </c>
      <c r="F472" s="142" t="s">
        <v>18</v>
      </c>
      <c r="G472" s="142" t="s">
        <v>74</v>
      </c>
      <c r="H472" s="76">
        <v>1.511</v>
      </c>
      <c r="I472" s="45">
        <v>0.7</v>
      </c>
      <c r="J472" s="55">
        <v>34</v>
      </c>
      <c r="K472" s="55">
        <f t="shared" si="104"/>
        <v>35.9618</v>
      </c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18"/>
      <c r="AE472" s="18"/>
      <c r="AF472" s="18"/>
      <c r="AG472" s="18"/>
      <c r="AH472" s="18"/>
    </row>
    <row r="473" spans="1:34" s="2" customFormat="1" ht="15.75" customHeight="1" outlineLevel="2">
      <c r="A473" s="139">
        <v>4</v>
      </c>
      <c r="B473" s="142" t="s">
        <v>71</v>
      </c>
      <c r="C473" s="69" t="s">
        <v>77</v>
      </c>
      <c r="D473" s="27" t="s">
        <v>78</v>
      </c>
      <c r="E473" s="28" t="s">
        <v>40</v>
      </c>
      <c r="F473" s="142" t="s">
        <v>40</v>
      </c>
      <c r="G473" s="142" t="s">
        <v>74</v>
      </c>
      <c r="H473" s="76">
        <v>11.64</v>
      </c>
      <c r="I473" s="45">
        <v>1.2</v>
      </c>
      <c r="J473" s="55">
        <v>34</v>
      </c>
      <c r="K473" s="55">
        <f aca="true" t="shared" si="124" ref="K473:K499">(H473*I473*J473)</f>
        <v>474.912</v>
      </c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18"/>
      <c r="AE473" s="18"/>
      <c r="AF473" s="18"/>
      <c r="AG473" s="18"/>
      <c r="AH473" s="18"/>
    </row>
    <row r="474" spans="1:34" s="2" customFormat="1" ht="15.75" customHeight="1" outlineLevel="2">
      <c r="A474" s="139">
        <v>5</v>
      </c>
      <c r="B474" s="142" t="s">
        <v>71</v>
      </c>
      <c r="C474" s="69" t="s">
        <v>79</v>
      </c>
      <c r="D474" s="27" t="s">
        <v>73</v>
      </c>
      <c r="E474" s="28" t="s">
        <v>11</v>
      </c>
      <c r="F474" s="142" t="s">
        <v>11</v>
      </c>
      <c r="G474" s="142" t="s">
        <v>74</v>
      </c>
      <c r="H474" s="76">
        <v>0.265</v>
      </c>
      <c r="I474" s="45">
        <v>1</v>
      </c>
      <c r="J474" s="55">
        <v>34</v>
      </c>
      <c r="K474" s="55">
        <f t="shared" si="124"/>
        <v>9.01</v>
      </c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18"/>
      <c r="AG474" s="18"/>
      <c r="AH474" s="18"/>
    </row>
    <row r="475" spans="1:34" s="2" customFormat="1" ht="15.75" customHeight="1" outlineLevel="2">
      <c r="A475" s="139">
        <v>6</v>
      </c>
      <c r="B475" s="142" t="s">
        <v>71</v>
      </c>
      <c r="C475" s="69" t="s">
        <v>80</v>
      </c>
      <c r="D475" s="27" t="s">
        <v>73</v>
      </c>
      <c r="E475" s="28" t="s">
        <v>11</v>
      </c>
      <c r="F475" s="142" t="s">
        <v>11</v>
      </c>
      <c r="G475" s="142" t="s">
        <v>74</v>
      </c>
      <c r="H475" s="76">
        <v>1.089</v>
      </c>
      <c r="I475" s="49">
        <v>1.2</v>
      </c>
      <c r="J475" s="55">
        <v>34</v>
      </c>
      <c r="K475" s="55">
        <f t="shared" si="124"/>
        <v>44.4312</v>
      </c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18"/>
      <c r="AE475" s="18"/>
      <c r="AF475" s="18"/>
      <c r="AG475" s="18"/>
      <c r="AH475" s="18"/>
    </row>
    <row r="476" spans="1:34" s="59" customFormat="1" ht="15.75" customHeight="1" outlineLevel="1">
      <c r="A476" s="139"/>
      <c r="B476" s="125" t="s">
        <v>590</v>
      </c>
      <c r="C476" s="39"/>
      <c r="D476" s="27"/>
      <c r="E476" s="27"/>
      <c r="F476" s="142"/>
      <c r="G476" s="36"/>
      <c r="H476" s="90">
        <f>SUBTOTAL(9,H470:H475)</f>
        <v>20.91</v>
      </c>
      <c r="I476" s="45"/>
      <c r="J476" s="54"/>
      <c r="K476" s="55"/>
      <c r="L476" s="62"/>
      <c r="M476" s="62"/>
      <c r="N476" s="97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</row>
    <row r="477" spans="1:34" s="2" customFormat="1" ht="15.75" customHeight="1" outlineLevel="1">
      <c r="A477" s="139"/>
      <c r="B477" s="48"/>
      <c r="C477" s="69"/>
      <c r="D477" s="27"/>
      <c r="E477" s="28"/>
      <c r="F477" s="142"/>
      <c r="G477" s="142"/>
      <c r="H477" s="90"/>
      <c r="I477" s="45"/>
      <c r="J477" s="54"/>
      <c r="K477" s="55"/>
      <c r="L477" s="62"/>
      <c r="M477" s="62"/>
      <c r="N477" s="97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</row>
    <row r="478" spans="1:34" s="2" customFormat="1" ht="15.75" customHeight="1" outlineLevel="1">
      <c r="A478" s="27"/>
      <c r="B478" s="142"/>
      <c r="C478" s="69"/>
      <c r="D478" s="27"/>
      <c r="E478" s="28"/>
      <c r="F478" s="142"/>
      <c r="G478" s="142"/>
      <c r="H478" s="76"/>
      <c r="I478" s="45"/>
      <c r="J478" s="54"/>
      <c r="K478" s="55"/>
      <c r="L478" s="62"/>
      <c r="M478" s="62"/>
      <c r="N478" s="97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</row>
    <row r="479" spans="1:11" ht="15.75" customHeight="1" outlineLevel="1">
      <c r="A479" s="27"/>
      <c r="B479" s="142"/>
      <c r="C479" s="69"/>
      <c r="D479" s="27"/>
      <c r="E479" s="28"/>
      <c r="F479" s="142"/>
      <c r="G479" s="142"/>
      <c r="H479" s="76"/>
      <c r="I479" s="45"/>
      <c r="J479" s="54"/>
      <c r="K479" s="55"/>
    </row>
    <row r="480" spans="1:70" s="6" customFormat="1" ht="15.75" customHeight="1" outlineLevel="2">
      <c r="A480" s="27">
        <v>1</v>
      </c>
      <c r="B480" s="142" t="s">
        <v>81</v>
      </c>
      <c r="C480" s="67" t="s">
        <v>169</v>
      </c>
      <c r="D480" s="27" t="s">
        <v>97</v>
      </c>
      <c r="E480" s="144" t="s">
        <v>56</v>
      </c>
      <c r="F480" s="141" t="s">
        <v>35</v>
      </c>
      <c r="G480" s="36" t="s">
        <v>28</v>
      </c>
      <c r="H480" s="80">
        <v>1.116</v>
      </c>
      <c r="I480" s="45">
        <v>0.7</v>
      </c>
      <c r="J480" s="55">
        <v>35</v>
      </c>
      <c r="K480" s="55">
        <f t="shared" si="124"/>
        <v>27.342</v>
      </c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174">
        <f aca="true" t="shared" si="125" ref="AI480:AX480">(AH480+2.73)</f>
        <v>2.73</v>
      </c>
      <c r="AJ480" s="55">
        <f t="shared" si="125"/>
        <v>5.46</v>
      </c>
      <c r="AK480" s="55">
        <f t="shared" si="125"/>
        <v>8.19</v>
      </c>
      <c r="AL480" s="55">
        <f t="shared" si="125"/>
        <v>10.92</v>
      </c>
      <c r="AM480" s="55">
        <f t="shared" si="125"/>
        <v>13.65</v>
      </c>
      <c r="AN480" s="55">
        <f t="shared" si="125"/>
        <v>16.38</v>
      </c>
      <c r="AO480" s="55">
        <f t="shared" si="125"/>
        <v>19.11</v>
      </c>
      <c r="AP480" s="55">
        <f t="shared" si="125"/>
        <v>21.84</v>
      </c>
      <c r="AQ480" s="55">
        <f t="shared" si="125"/>
        <v>24.57</v>
      </c>
      <c r="AR480" s="55">
        <f t="shared" si="125"/>
        <v>27.3</v>
      </c>
      <c r="AS480" s="55">
        <f t="shared" si="125"/>
        <v>30.03</v>
      </c>
      <c r="AT480" s="55">
        <f t="shared" si="125"/>
        <v>32.76</v>
      </c>
      <c r="AU480" s="55">
        <f t="shared" si="125"/>
        <v>35.489999999999995</v>
      </c>
      <c r="AV480" s="55">
        <f t="shared" si="125"/>
        <v>38.21999999999999</v>
      </c>
      <c r="AW480" s="55">
        <f t="shared" si="125"/>
        <v>40.94999999999999</v>
      </c>
      <c r="AX480" s="55">
        <f t="shared" si="125"/>
        <v>43.679999999999986</v>
      </c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2"/>
      <c r="BJ480" s="2"/>
      <c r="BK480" s="2"/>
      <c r="BL480" s="2"/>
      <c r="BM480" s="2"/>
      <c r="BN480" s="2"/>
      <c r="BO480" s="2"/>
      <c r="BP480" s="2"/>
      <c r="BQ480" s="2"/>
      <c r="BR480" s="2"/>
    </row>
    <row r="481" spans="1:60" ht="15.75" customHeight="1" outlineLevel="2">
      <c r="A481" s="27">
        <v>2</v>
      </c>
      <c r="B481" s="142" t="s">
        <v>81</v>
      </c>
      <c r="C481" s="67" t="s">
        <v>171</v>
      </c>
      <c r="D481" s="27" t="s">
        <v>83</v>
      </c>
      <c r="E481" s="144" t="s">
        <v>56</v>
      </c>
      <c r="F481" s="141" t="s">
        <v>35</v>
      </c>
      <c r="G481" s="36" t="s">
        <v>28</v>
      </c>
      <c r="H481" s="76">
        <v>3.287</v>
      </c>
      <c r="I481" s="45">
        <v>0.7</v>
      </c>
      <c r="J481" s="55">
        <v>35</v>
      </c>
      <c r="K481" s="55">
        <f t="shared" si="124"/>
        <v>80.5315</v>
      </c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174">
        <f aca="true" t="shared" si="126" ref="AI481:AQ481">(AH481+8.05)</f>
        <v>8.05</v>
      </c>
      <c r="AJ481" s="55">
        <f t="shared" si="126"/>
        <v>16.1</v>
      </c>
      <c r="AK481" s="55">
        <f t="shared" si="126"/>
        <v>24.150000000000002</v>
      </c>
      <c r="AL481" s="55">
        <f t="shared" si="126"/>
        <v>32.2</v>
      </c>
      <c r="AM481" s="55">
        <f t="shared" si="126"/>
        <v>40.25</v>
      </c>
      <c r="AN481" s="55">
        <f t="shared" si="126"/>
        <v>48.3</v>
      </c>
      <c r="AO481" s="55">
        <f t="shared" si="126"/>
        <v>56.349999999999994</v>
      </c>
      <c r="AP481" s="55">
        <f t="shared" si="126"/>
        <v>64.39999999999999</v>
      </c>
      <c r="AQ481" s="55">
        <f t="shared" si="126"/>
        <v>72.44999999999999</v>
      </c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</row>
    <row r="482" spans="1:60" ht="15.75" customHeight="1" outlineLevel="2">
      <c r="A482" s="27">
        <v>3</v>
      </c>
      <c r="B482" s="36" t="s">
        <v>81</v>
      </c>
      <c r="C482" s="39" t="s">
        <v>327</v>
      </c>
      <c r="D482" s="27" t="s">
        <v>368</v>
      </c>
      <c r="E482" s="37" t="s">
        <v>35</v>
      </c>
      <c r="F482" s="141" t="s">
        <v>35</v>
      </c>
      <c r="G482" s="36" t="s">
        <v>28</v>
      </c>
      <c r="H482" s="39">
        <v>0.262</v>
      </c>
      <c r="I482" s="45">
        <v>0.7</v>
      </c>
      <c r="J482" s="55">
        <v>35</v>
      </c>
      <c r="K482" s="55">
        <f t="shared" si="124"/>
        <v>6.4190000000000005</v>
      </c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174">
        <f aca="true" t="shared" si="127" ref="AI482:AW482">(AH482+0.64)</f>
        <v>0.64</v>
      </c>
      <c r="AJ482" s="55">
        <f t="shared" si="127"/>
        <v>1.28</v>
      </c>
      <c r="AK482" s="55">
        <f t="shared" si="127"/>
        <v>1.92</v>
      </c>
      <c r="AL482" s="55">
        <f t="shared" si="127"/>
        <v>2.56</v>
      </c>
      <c r="AM482" s="55">
        <f t="shared" si="127"/>
        <v>3.2</v>
      </c>
      <c r="AN482" s="55">
        <f t="shared" si="127"/>
        <v>3.8400000000000003</v>
      </c>
      <c r="AO482" s="55">
        <f t="shared" si="127"/>
        <v>4.48</v>
      </c>
      <c r="AP482" s="55">
        <f t="shared" si="127"/>
        <v>5.12</v>
      </c>
      <c r="AQ482" s="55">
        <f t="shared" si="127"/>
        <v>5.76</v>
      </c>
      <c r="AR482" s="55">
        <f t="shared" si="127"/>
        <v>6.3999999999999995</v>
      </c>
      <c r="AS482" s="55">
        <f t="shared" si="127"/>
        <v>7.039999999999999</v>
      </c>
      <c r="AT482" s="55">
        <f t="shared" si="127"/>
        <v>7.679999999999999</v>
      </c>
      <c r="AU482" s="55">
        <f t="shared" si="127"/>
        <v>8.319999999999999</v>
      </c>
      <c r="AV482" s="55">
        <f t="shared" si="127"/>
        <v>8.959999999999999</v>
      </c>
      <c r="AW482" s="55">
        <f t="shared" si="127"/>
        <v>9.6</v>
      </c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</row>
    <row r="483" spans="1:60" ht="15.75" customHeight="1" outlineLevel="2">
      <c r="A483" s="27">
        <v>4</v>
      </c>
      <c r="B483" s="36" t="s">
        <v>81</v>
      </c>
      <c r="C483" s="39" t="s">
        <v>328</v>
      </c>
      <c r="D483" s="27" t="s">
        <v>368</v>
      </c>
      <c r="E483" s="37" t="s">
        <v>35</v>
      </c>
      <c r="F483" s="141" t="s">
        <v>35</v>
      </c>
      <c r="G483" s="36" t="s">
        <v>28</v>
      </c>
      <c r="H483" s="39">
        <v>0.107</v>
      </c>
      <c r="I483" s="45">
        <v>0.7</v>
      </c>
      <c r="J483" s="55">
        <v>35</v>
      </c>
      <c r="K483" s="55">
        <f t="shared" si="124"/>
        <v>2.6214999999999997</v>
      </c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174">
        <f aca="true" t="shared" si="128" ref="AI483:AV483">(AH483+0.26)</f>
        <v>0.26</v>
      </c>
      <c r="AJ483" s="55">
        <f t="shared" si="128"/>
        <v>0.52</v>
      </c>
      <c r="AK483" s="55">
        <f t="shared" si="128"/>
        <v>0.78</v>
      </c>
      <c r="AL483" s="55">
        <f t="shared" si="128"/>
        <v>1.04</v>
      </c>
      <c r="AM483" s="55">
        <f t="shared" si="128"/>
        <v>1.3</v>
      </c>
      <c r="AN483" s="55">
        <f t="shared" si="128"/>
        <v>1.56</v>
      </c>
      <c r="AO483" s="55">
        <f t="shared" si="128"/>
        <v>1.82</v>
      </c>
      <c r="AP483" s="55">
        <f t="shared" si="128"/>
        <v>2.08</v>
      </c>
      <c r="AQ483" s="55">
        <f t="shared" si="128"/>
        <v>2.34</v>
      </c>
      <c r="AR483" s="55">
        <f t="shared" si="128"/>
        <v>2.5999999999999996</v>
      </c>
      <c r="AS483" s="55">
        <f t="shared" si="128"/>
        <v>2.8599999999999994</v>
      </c>
      <c r="AT483" s="55">
        <f t="shared" si="128"/>
        <v>3.119999999999999</v>
      </c>
      <c r="AU483" s="55">
        <f t="shared" si="128"/>
        <v>3.379999999999999</v>
      </c>
      <c r="AV483" s="55">
        <f t="shared" si="128"/>
        <v>3.639999999999999</v>
      </c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</row>
    <row r="484" spans="1:70" s="12" customFormat="1" ht="15.75" customHeight="1" outlineLevel="2">
      <c r="A484" s="27">
        <v>5</v>
      </c>
      <c r="B484" s="142" t="s">
        <v>81</v>
      </c>
      <c r="C484" s="67" t="s">
        <v>170</v>
      </c>
      <c r="D484" s="27" t="s">
        <v>82</v>
      </c>
      <c r="E484" s="144" t="s">
        <v>56</v>
      </c>
      <c r="F484" s="141" t="s">
        <v>35</v>
      </c>
      <c r="G484" s="36" t="s">
        <v>28</v>
      </c>
      <c r="H484" s="76">
        <v>5.334</v>
      </c>
      <c r="I484" s="45">
        <v>0.7</v>
      </c>
      <c r="J484" s="55">
        <v>35</v>
      </c>
      <c r="K484" s="55">
        <f t="shared" si="124"/>
        <v>130.683</v>
      </c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174">
        <f aca="true" t="shared" si="129" ref="AI484:AU484">(AH484+13.07)</f>
        <v>13.07</v>
      </c>
      <c r="AJ484" s="55">
        <f t="shared" si="129"/>
        <v>26.14</v>
      </c>
      <c r="AK484" s="55">
        <f t="shared" si="129"/>
        <v>39.21</v>
      </c>
      <c r="AL484" s="55">
        <f t="shared" si="129"/>
        <v>52.28</v>
      </c>
      <c r="AM484" s="55">
        <f t="shared" si="129"/>
        <v>65.35</v>
      </c>
      <c r="AN484" s="55">
        <f t="shared" si="129"/>
        <v>78.41999999999999</v>
      </c>
      <c r="AO484" s="55">
        <f t="shared" si="129"/>
        <v>91.48999999999998</v>
      </c>
      <c r="AP484" s="55">
        <f t="shared" si="129"/>
        <v>104.55999999999997</v>
      </c>
      <c r="AQ484" s="55">
        <f t="shared" si="129"/>
        <v>117.62999999999997</v>
      </c>
      <c r="AR484" s="55">
        <f t="shared" si="129"/>
        <v>130.69999999999996</v>
      </c>
      <c r="AS484" s="55">
        <f t="shared" si="129"/>
        <v>143.76999999999995</v>
      </c>
      <c r="AT484" s="55">
        <f t="shared" si="129"/>
        <v>156.83999999999995</v>
      </c>
      <c r="AU484" s="55">
        <f t="shared" si="129"/>
        <v>169.90999999999994</v>
      </c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2"/>
      <c r="BJ484" s="2"/>
      <c r="BK484" s="2"/>
      <c r="BL484" s="2"/>
      <c r="BM484" s="2"/>
      <c r="BN484" s="2"/>
      <c r="BO484" s="2"/>
      <c r="BP484" s="2"/>
      <c r="BQ484" s="2"/>
      <c r="BR484" s="2"/>
    </row>
    <row r="485" spans="1:70" s="12" customFormat="1" ht="15.75" customHeight="1" outlineLevel="1">
      <c r="A485" s="27"/>
      <c r="B485" s="125" t="s">
        <v>590</v>
      </c>
      <c r="C485" s="67"/>
      <c r="D485" s="27"/>
      <c r="E485" s="144"/>
      <c r="F485" s="44"/>
      <c r="G485" s="38"/>
      <c r="H485" s="90">
        <f>SUBTOTAL(9,H480:H484)</f>
        <v>10.106000000000002</v>
      </c>
      <c r="I485" s="44"/>
      <c r="J485" s="54"/>
      <c r="K485" s="55"/>
      <c r="L485" s="62"/>
      <c r="M485" s="62"/>
      <c r="N485" s="97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</row>
    <row r="486" spans="1:70" s="12" customFormat="1" ht="15.75" customHeight="1" outlineLevel="1">
      <c r="A486" s="27"/>
      <c r="B486" s="48"/>
      <c r="C486" s="67"/>
      <c r="D486" s="27"/>
      <c r="E486" s="144"/>
      <c r="F486" s="44"/>
      <c r="G486" s="38"/>
      <c r="H486" s="90"/>
      <c r="I486" s="44"/>
      <c r="J486" s="54"/>
      <c r="K486" s="55"/>
      <c r="L486" s="62"/>
      <c r="M486" s="62"/>
      <c r="N486" s="97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</row>
    <row r="487" spans="1:34" s="2" customFormat="1" ht="15.75" customHeight="1" outlineLevel="1">
      <c r="A487" s="39"/>
      <c r="B487" s="36"/>
      <c r="C487" s="39"/>
      <c r="D487" s="27"/>
      <c r="E487" s="37"/>
      <c r="F487" s="49"/>
      <c r="G487" s="38"/>
      <c r="H487" s="39"/>
      <c r="I487" s="49"/>
      <c r="J487" s="54"/>
      <c r="K487" s="55"/>
      <c r="L487" s="62"/>
      <c r="M487" s="62"/>
      <c r="N487" s="97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</row>
    <row r="488" spans="1:34" s="2" customFormat="1" ht="15.75" customHeight="1" outlineLevel="1">
      <c r="A488" s="27"/>
      <c r="B488" s="142"/>
      <c r="C488" s="24"/>
      <c r="D488" s="27"/>
      <c r="E488" s="144"/>
      <c r="F488" s="141"/>
      <c r="G488" s="142"/>
      <c r="H488" s="27"/>
      <c r="I488" s="44"/>
      <c r="J488" s="54"/>
      <c r="K488" s="55"/>
      <c r="L488" s="62"/>
      <c r="M488" s="62"/>
      <c r="N488" s="97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</row>
    <row r="489" spans="1:70" s="5" customFormat="1" ht="15.75" customHeight="1" outlineLevel="2">
      <c r="A489" s="27">
        <v>1</v>
      </c>
      <c r="B489" s="142" t="s">
        <v>84</v>
      </c>
      <c r="C489" s="74" t="s">
        <v>86</v>
      </c>
      <c r="D489" s="27" t="s">
        <v>103</v>
      </c>
      <c r="E489" s="28" t="s">
        <v>40</v>
      </c>
      <c r="F489" s="142" t="s">
        <v>40</v>
      </c>
      <c r="G489" s="142" t="s">
        <v>91</v>
      </c>
      <c r="H489" s="27">
        <v>127.118</v>
      </c>
      <c r="I489" s="45">
        <v>1.2</v>
      </c>
      <c r="J489" s="55">
        <v>20</v>
      </c>
      <c r="K489" s="55">
        <f t="shared" si="124"/>
        <v>3050.832</v>
      </c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  <c r="AA489" s="224"/>
      <c r="AB489" s="224"/>
      <c r="AC489" s="224"/>
      <c r="AD489" s="224"/>
      <c r="AE489" s="224"/>
      <c r="AF489" s="224"/>
      <c r="AG489" s="224"/>
      <c r="AH489" s="224"/>
      <c r="AI489" s="220">
        <f>(AH489+305.08)</f>
        <v>305.08</v>
      </c>
      <c r="AJ489" s="56">
        <f>(AI489+305.08)</f>
        <v>610.16</v>
      </c>
      <c r="AK489" s="56">
        <f>(AJ489+305.08)</f>
        <v>915.24</v>
      </c>
      <c r="AL489" s="56">
        <f>(AK489+305.08)</f>
        <v>1220.32</v>
      </c>
      <c r="AM489" s="56">
        <f>(AL489+305.08)</f>
        <v>1525.3999999999999</v>
      </c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</row>
    <row r="490" spans="1:69" s="60" customFormat="1" ht="15.75" customHeight="1" outlineLevel="2">
      <c r="A490" s="27">
        <v>2</v>
      </c>
      <c r="B490" s="103" t="s">
        <v>84</v>
      </c>
      <c r="C490" s="39" t="s">
        <v>428</v>
      </c>
      <c r="D490" s="104" t="s">
        <v>429</v>
      </c>
      <c r="E490" s="41" t="s">
        <v>40</v>
      </c>
      <c r="F490" s="142" t="s">
        <v>40</v>
      </c>
      <c r="G490" s="105" t="s">
        <v>28</v>
      </c>
      <c r="H490" s="27">
        <v>4.854</v>
      </c>
      <c r="I490" s="45">
        <v>0.7</v>
      </c>
      <c r="J490" s="55">
        <v>20</v>
      </c>
      <c r="K490" s="55">
        <f t="shared" si="124"/>
        <v>67.95599999999999</v>
      </c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  <c r="AA490" s="224"/>
      <c r="AB490" s="224"/>
      <c r="AC490" s="224"/>
      <c r="AD490" s="224"/>
      <c r="AE490" s="224"/>
      <c r="AF490" s="224"/>
      <c r="AG490" s="224"/>
      <c r="AH490" s="224"/>
      <c r="AI490" s="220">
        <f aca="true" t="shared" si="130" ref="AI490:BQ490">(AH490+6.8)</f>
        <v>6.8</v>
      </c>
      <c r="AJ490" s="56">
        <f t="shared" si="130"/>
        <v>13.6</v>
      </c>
      <c r="AK490" s="56">
        <f t="shared" si="130"/>
        <v>20.4</v>
      </c>
      <c r="AL490" s="56">
        <f t="shared" si="130"/>
        <v>27.2</v>
      </c>
      <c r="AM490" s="56">
        <f t="shared" si="130"/>
        <v>34</v>
      </c>
      <c r="AN490" s="56">
        <f t="shared" si="130"/>
        <v>40.8</v>
      </c>
      <c r="AO490" s="56">
        <f t="shared" si="130"/>
        <v>47.599999999999994</v>
      </c>
      <c r="AP490" s="56">
        <f t="shared" si="130"/>
        <v>54.39999999999999</v>
      </c>
      <c r="AQ490" s="56">
        <f t="shared" si="130"/>
        <v>61.19999999999999</v>
      </c>
      <c r="AR490" s="56">
        <f t="shared" si="130"/>
        <v>67.99999999999999</v>
      </c>
      <c r="AS490" s="56">
        <f t="shared" si="130"/>
        <v>74.79999999999998</v>
      </c>
      <c r="AT490" s="56">
        <f t="shared" si="130"/>
        <v>81.59999999999998</v>
      </c>
      <c r="AU490" s="56">
        <f t="shared" si="130"/>
        <v>88.39999999999998</v>
      </c>
      <c r="AV490" s="56">
        <f t="shared" si="130"/>
        <v>95.19999999999997</v>
      </c>
      <c r="AW490" s="56">
        <f t="shared" si="130"/>
        <v>101.99999999999997</v>
      </c>
      <c r="AX490" s="56">
        <f t="shared" si="130"/>
        <v>108.79999999999997</v>
      </c>
      <c r="AY490" s="56">
        <f t="shared" si="130"/>
        <v>115.59999999999997</v>
      </c>
      <c r="AZ490" s="56">
        <f t="shared" si="130"/>
        <v>122.39999999999996</v>
      </c>
      <c r="BA490" s="56">
        <f t="shared" si="130"/>
        <v>129.19999999999996</v>
      </c>
      <c r="BB490" s="56">
        <f t="shared" si="130"/>
        <v>135.99999999999997</v>
      </c>
      <c r="BC490" s="56">
        <f t="shared" si="130"/>
        <v>142.79999999999998</v>
      </c>
      <c r="BD490" s="56">
        <f t="shared" si="130"/>
        <v>149.6</v>
      </c>
      <c r="BE490" s="56">
        <f t="shared" si="130"/>
        <v>156.4</v>
      </c>
      <c r="BF490" s="56">
        <f t="shared" si="130"/>
        <v>163.20000000000002</v>
      </c>
      <c r="BG490" s="56">
        <f t="shared" si="130"/>
        <v>170.00000000000003</v>
      </c>
      <c r="BH490" s="56">
        <f t="shared" si="130"/>
        <v>176.80000000000004</v>
      </c>
      <c r="BI490" s="56">
        <f t="shared" si="130"/>
        <v>183.60000000000005</v>
      </c>
      <c r="BJ490" s="56">
        <f t="shared" si="130"/>
        <v>190.40000000000006</v>
      </c>
      <c r="BK490" s="56">
        <f t="shared" si="130"/>
        <v>197.20000000000007</v>
      </c>
      <c r="BL490" s="56">
        <f t="shared" si="130"/>
        <v>204.00000000000009</v>
      </c>
      <c r="BM490" s="56">
        <f t="shared" si="130"/>
        <v>210.8000000000001</v>
      </c>
      <c r="BN490" s="56">
        <f t="shared" si="130"/>
        <v>217.6000000000001</v>
      </c>
      <c r="BO490" s="56">
        <f t="shared" si="130"/>
        <v>224.40000000000012</v>
      </c>
      <c r="BP490" s="56">
        <f t="shared" si="130"/>
        <v>231.20000000000013</v>
      </c>
      <c r="BQ490" s="56">
        <f t="shared" si="130"/>
        <v>238.00000000000014</v>
      </c>
    </row>
    <row r="491" spans="1:69" s="60" customFormat="1" ht="15.75" customHeight="1" outlineLevel="2">
      <c r="A491" s="27">
        <v>3</v>
      </c>
      <c r="B491" s="119" t="s">
        <v>84</v>
      </c>
      <c r="C491" s="74" t="s">
        <v>87</v>
      </c>
      <c r="D491" s="106" t="s">
        <v>103</v>
      </c>
      <c r="E491" s="28" t="s">
        <v>40</v>
      </c>
      <c r="F491" s="142" t="s">
        <v>40</v>
      </c>
      <c r="G491" s="123" t="s">
        <v>91</v>
      </c>
      <c r="H491" s="27">
        <v>5.435</v>
      </c>
      <c r="I491" s="45">
        <v>0.7</v>
      </c>
      <c r="J491" s="55">
        <v>20</v>
      </c>
      <c r="K491" s="55">
        <f t="shared" si="124"/>
        <v>76.08999999999999</v>
      </c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  <c r="AA491" s="224"/>
      <c r="AB491" s="224"/>
      <c r="AC491" s="224"/>
      <c r="AD491" s="224"/>
      <c r="AE491" s="224"/>
      <c r="AF491" s="224"/>
      <c r="AG491" s="224"/>
      <c r="AH491" s="224"/>
      <c r="AI491" s="220">
        <f aca="true" t="shared" si="131" ref="AI491:BQ491">(AH491+7.61)</f>
        <v>7.61</v>
      </c>
      <c r="AJ491" s="56">
        <f t="shared" si="131"/>
        <v>15.22</v>
      </c>
      <c r="AK491" s="56">
        <f t="shared" si="131"/>
        <v>22.830000000000002</v>
      </c>
      <c r="AL491" s="56">
        <f t="shared" si="131"/>
        <v>30.44</v>
      </c>
      <c r="AM491" s="56">
        <f t="shared" si="131"/>
        <v>38.050000000000004</v>
      </c>
      <c r="AN491" s="56">
        <f t="shared" si="131"/>
        <v>45.660000000000004</v>
      </c>
      <c r="AO491" s="56">
        <f t="shared" si="131"/>
        <v>53.27</v>
      </c>
      <c r="AP491" s="56">
        <f t="shared" si="131"/>
        <v>60.88</v>
      </c>
      <c r="AQ491" s="56">
        <f t="shared" si="131"/>
        <v>68.49000000000001</v>
      </c>
      <c r="AR491" s="56">
        <f t="shared" si="131"/>
        <v>76.10000000000001</v>
      </c>
      <c r="AS491" s="56">
        <f t="shared" si="131"/>
        <v>83.71000000000001</v>
      </c>
      <c r="AT491" s="56">
        <f t="shared" si="131"/>
        <v>91.32000000000001</v>
      </c>
      <c r="AU491" s="56">
        <f t="shared" si="131"/>
        <v>98.93</v>
      </c>
      <c r="AV491" s="56">
        <f t="shared" si="131"/>
        <v>106.54</v>
      </c>
      <c r="AW491" s="56">
        <f t="shared" si="131"/>
        <v>114.15</v>
      </c>
      <c r="AX491" s="56">
        <f t="shared" si="131"/>
        <v>121.76</v>
      </c>
      <c r="AY491" s="56">
        <f t="shared" si="131"/>
        <v>129.37</v>
      </c>
      <c r="AZ491" s="56">
        <f t="shared" si="131"/>
        <v>136.98000000000002</v>
      </c>
      <c r="BA491" s="56">
        <f t="shared" si="131"/>
        <v>144.59000000000003</v>
      </c>
      <c r="BB491" s="56">
        <f t="shared" si="131"/>
        <v>152.20000000000005</v>
      </c>
      <c r="BC491" s="56">
        <f t="shared" si="131"/>
        <v>159.81000000000006</v>
      </c>
      <c r="BD491" s="56">
        <f t="shared" si="131"/>
        <v>167.42000000000007</v>
      </c>
      <c r="BE491" s="56">
        <f t="shared" si="131"/>
        <v>175.0300000000001</v>
      </c>
      <c r="BF491" s="56">
        <f t="shared" si="131"/>
        <v>182.6400000000001</v>
      </c>
      <c r="BG491" s="56">
        <f t="shared" si="131"/>
        <v>190.2500000000001</v>
      </c>
      <c r="BH491" s="56">
        <f t="shared" si="131"/>
        <v>197.86000000000013</v>
      </c>
      <c r="BI491" s="56">
        <f t="shared" si="131"/>
        <v>205.47000000000014</v>
      </c>
      <c r="BJ491" s="56">
        <f t="shared" si="131"/>
        <v>213.08000000000015</v>
      </c>
      <c r="BK491" s="56">
        <f t="shared" si="131"/>
        <v>220.69000000000017</v>
      </c>
      <c r="BL491" s="56">
        <f t="shared" si="131"/>
        <v>228.30000000000018</v>
      </c>
      <c r="BM491" s="56">
        <f t="shared" si="131"/>
        <v>235.9100000000002</v>
      </c>
      <c r="BN491" s="56">
        <f t="shared" si="131"/>
        <v>243.5200000000002</v>
      </c>
      <c r="BO491" s="56">
        <f t="shared" si="131"/>
        <v>251.13000000000022</v>
      </c>
      <c r="BP491" s="56">
        <f t="shared" si="131"/>
        <v>258.74000000000024</v>
      </c>
      <c r="BQ491" s="56">
        <f t="shared" si="131"/>
        <v>266.35000000000025</v>
      </c>
    </row>
    <row r="492" spans="1:63" s="60" customFormat="1" ht="15.75" customHeight="1" outlineLevel="2">
      <c r="A492" s="27">
        <v>4</v>
      </c>
      <c r="B492" s="119" t="s">
        <v>84</v>
      </c>
      <c r="C492" s="74" t="s">
        <v>89</v>
      </c>
      <c r="D492" s="104" t="s">
        <v>103</v>
      </c>
      <c r="E492" s="28" t="s">
        <v>40</v>
      </c>
      <c r="F492" s="142" t="s">
        <v>40</v>
      </c>
      <c r="G492" s="123" t="s">
        <v>91</v>
      </c>
      <c r="H492" s="27">
        <v>18.307</v>
      </c>
      <c r="I492" s="45">
        <v>1.2</v>
      </c>
      <c r="J492" s="55">
        <v>20</v>
      </c>
      <c r="K492" s="55">
        <f t="shared" si="124"/>
        <v>439.368</v>
      </c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  <c r="AA492" s="224"/>
      <c r="AB492" s="224"/>
      <c r="AC492" s="224"/>
      <c r="AD492" s="224"/>
      <c r="AE492" s="224"/>
      <c r="AF492" s="224"/>
      <c r="AG492" s="224"/>
      <c r="AH492" s="224"/>
      <c r="AI492" s="220">
        <f aca="true" t="shared" si="132" ref="AI492:AZ492">(AH492+43.94)</f>
        <v>43.94</v>
      </c>
      <c r="AJ492" s="56">
        <f t="shared" si="132"/>
        <v>87.88</v>
      </c>
      <c r="AK492" s="56">
        <f t="shared" si="132"/>
        <v>131.82</v>
      </c>
      <c r="AL492" s="56">
        <f t="shared" si="132"/>
        <v>175.76</v>
      </c>
      <c r="AM492" s="56">
        <f t="shared" si="132"/>
        <v>219.7</v>
      </c>
      <c r="AN492" s="56">
        <f t="shared" si="132"/>
        <v>263.64</v>
      </c>
      <c r="AO492" s="56">
        <f t="shared" si="132"/>
        <v>307.58</v>
      </c>
      <c r="AP492" s="56">
        <f t="shared" si="132"/>
        <v>351.52</v>
      </c>
      <c r="AQ492" s="56">
        <f t="shared" si="132"/>
        <v>395.46</v>
      </c>
      <c r="AR492" s="56">
        <f t="shared" si="132"/>
        <v>439.4</v>
      </c>
      <c r="AS492" s="56">
        <f t="shared" si="132"/>
        <v>483.34</v>
      </c>
      <c r="AT492" s="56">
        <f t="shared" si="132"/>
        <v>527.28</v>
      </c>
      <c r="AU492" s="56">
        <f t="shared" si="132"/>
        <v>571.22</v>
      </c>
      <c r="AV492" s="56">
        <f t="shared" si="132"/>
        <v>615.1600000000001</v>
      </c>
      <c r="AW492" s="56">
        <f t="shared" si="132"/>
        <v>659.1000000000001</v>
      </c>
      <c r="AX492" s="56">
        <f t="shared" si="132"/>
        <v>703.0400000000002</v>
      </c>
      <c r="AY492" s="56">
        <f t="shared" si="132"/>
        <v>746.9800000000002</v>
      </c>
      <c r="AZ492" s="56">
        <f t="shared" si="132"/>
        <v>790.9200000000003</v>
      </c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</row>
    <row r="493" spans="1:69" s="60" customFormat="1" ht="15.75" customHeight="1" outlineLevel="2">
      <c r="A493" s="27">
        <v>5</v>
      </c>
      <c r="B493" s="119" t="s">
        <v>84</v>
      </c>
      <c r="C493" s="75" t="s">
        <v>88</v>
      </c>
      <c r="D493" s="104" t="s">
        <v>103</v>
      </c>
      <c r="E493" s="28" t="s">
        <v>40</v>
      </c>
      <c r="F493" s="142" t="s">
        <v>40</v>
      </c>
      <c r="G493" s="119" t="s">
        <v>91</v>
      </c>
      <c r="H493" s="27">
        <v>1.536</v>
      </c>
      <c r="I493" s="45">
        <v>0.7</v>
      </c>
      <c r="J493" s="55">
        <v>20</v>
      </c>
      <c r="K493" s="55">
        <f t="shared" si="124"/>
        <v>21.503999999999998</v>
      </c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  <c r="AA493" s="224"/>
      <c r="AB493" s="224"/>
      <c r="AC493" s="224"/>
      <c r="AD493" s="224"/>
      <c r="AE493" s="224"/>
      <c r="AF493" s="224"/>
      <c r="AG493" s="224"/>
      <c r="AH493" s="224"/>
      <c r="AI493" s="220">
        <f aca="true" t="shared" si="133" ref="AI493:BQ493">(AH493+2.15)</f>
        <v>2.15</v>
      </c>
      <c r="AJ493" s="56">
        <f t="shared" si="133"/>
        <v>4.3</v>
      </c>
      <c r="AK493" s="56">
        <f t="shared" si="133"/>
        <v>6.449999999999999</v>
      </c>
      <c r="AL493" s="56">
        <f t="shared" si="133"/>
        <v>8.6</v>
      </c>
      <c r="AM493" s="56">
        <f t="shared" si="133"/>
        <v>10.75</v>
      </c>
      <c r="AN493" s="56">
        <f t="shared" si="133"/>
        <v>12.9</v>
      </c>
      <c r="AO493" s="56">
        <f t="shared" si="133"/>
        <v>15.05</v>
      </c>
      <c r="AP493" s="56">
        <f t="shared" si="133"/>
        <v>17.2</v>
      </c>
      <c r="AQ493" s="56">
        <f t="shared" si="133"/>
        <v>19.349999999999998</v>
      </c>
      <c r="AR493" s="56">
        <f t="shared" si="133"/>
        <v>21.499999999999996</v>
      </c>
      <c r="AS493" s="56">
        <f t="shared" si="133"/>
        <v>23.649999999999995</v>
      </c>
      <c r="AT493" s="56">
        <f t="shared" si="133"/>
        <v>25.799999999999994</v>
      </c>
      <c r="AU493" s="56">
        <f t="shared" si="133"/>
        <v>27.949999999999992</v>
      </c>
      <c r="AV493" s="56">
        <f t="shared" si="133"/>
        <v>30.09999999999999</v>
      </c>
      <c r="AW493" s="56">
        <f t="shared" si="133"/>
        <v>32.24999999999999</v>
      </c>
      <c r="AX493" s="56">
        <f t="shared" si="133"/>
        <v>34.39999999999999</v>
      </c>
      <c r="AY493" s="56">
        <f t="shared" si="133"/>
        <v>36.54999999999999</v>
      </c>
      <c r="AZ493" s="56">
        <f t="shared" si="133"/>
        <v>38.69999999999999</v>
      </c>
      <c r="BA493" s="56">
        <f t="shared" si="133"/>
        <v>40.84999999999999</v>
      </c>
      <c r="BB493" s="56">
        <f t="shared" si="133"/>
        <v>42.999999999999986</v>
      </c>
      <c r="BC493" s="56">
        <f t="shared" si="133"/>
        <v>45.149999999999984</v>
      </c>
      <c r="BD493" s="56">
        <f t="shared" si="133"/>
        <v>47.29999999999998</v>
      </c>
      <c r="BE493" s="56">
        <f t="shared" si="133"/>
        <v>49.44999999999998</v>
      </c>
      <c r="BF493" s="56">
        <f t="shared" si="133"/>
        <v>51.59999999999998</v>
      </c>
      <c r="BG493" s="56">
        <f t="shared" si="133"/>
        <v>53.74999999999998</v>
      </c>
      <c r="BH493" s="56">
        <f t="shared" si="133"/>
        <v>55.89999999999998</v>
      </c>
      <c r="BI493" s="56">
        <f t="shared" si="133"/>
        <v>58.049999999999976</v>
      </c>
      <c r="BJ493" s="56">
        <f t="shared" si="133"/>
        <v>60.199999999999974</v>
      </c>
      <c r="BK493" s="56">
        <f t="shared" si="133"/>
        <v>62.34999999999997</v>
      </c>
      <c r="BL493" s="56">
        <f t="shared" si="133"/>
        <v>64.49999999999997</v>
      </c>
      <c r="BM493" s="56">
        <f t="shared" si="133"/>
        <v>66.64999999999998</v>
      </c>
      <c r="BN493" s="56">
        <f t="shared" si="133"/>
        <v>68.79999999999998</v>
      </c>
      <c r="BO493" s="56">
        <f t="shared" si="133"/>
        <v>70.94999999999999</v>
      </c>
      <c r="BP493" s="56">
        <f t="shared" si="133"/>
        <v>73.1</v>
      </c>
      <c r="BQ493" s="56">
        <f t="shared" si="133"/>
        <v>75.25</v>
      </c>
    </row>
    <row r="494" spans="1:43" s="60" customFormat="1" ht="15.75" customHeight="1" outlineLevel="2">
      <c r="A494" s="27">
        <v>6</v>
      </c>
      <c r="B494" s="119" t="s">
        <v>84</v>
      </c>
      <c r="C494" s="127" t="s">
        <v>571</v>
      </c>
      <c r="D494" s="104" t="s">
        <v>429</v>
      </c>
      <c r="E494" s="28"/>
      <c r="F494" s="142" t="s">
        <v>40</v>
      </c>
      <c r="G494" s="105" t="s">
        <v>28</v>
      </c>
      <c r="H494" s="27">
        <v>30.494</v>
      </c>
      <c r="I494" s="45">
        <v>1.2</v>
      </c>
      <c r="J494" s="55">
        <v>20</v>
      </c>
      <c r="K494" s="55">
        <f t="shared" si="124"/>
        <v>731.856</v>
      </c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  <c r="AA494" s="224"/>
      <c r="AB494" s="224"/>
      <c r="AC494" s="224"/>
      <c r="AD494" s="224"/>
      <c r="AE494" s="224"/>
      <c r="AF494" s="224"/>
      <c r="AG494" s="224"/>
      <c r="AH494" s="224"/>
      <c r="AI494" s="220">
        <f aca="true" t="shared" si="134" ref="AI494:AQ494">(AH494+73.19)</f>
        <v>73.19</v>
      </c>
      <c r="AJ494" s="56">
        <f t="shared" si="134"/>
        <v>146.38</v>
      </c>
      <c r="AK494" s="56">
        <f t="shared" si="134"/>
        <v>219.57</v>
      </c>
      <c r="AL494" s="56">
        <f t="shared" si="134"/>
        <v>292.76</v>
      </c>
      <c r="AM494" s="56">
        <f t="shared" si="134"/>
        <v>365.95</v>
      </c>
      <c r="AN494" s="56">
        <f t="shared" si="134"/>
        <v>439.14</v>
      </c>
      <c r="AO494" s="56">
        <f t="shared" si="134"/>
        <v>512.3299999999999</v>
      </c>
      <c r="AP494" s="56">
        <f t="shared" si="134"/>
        <v>585.52</v>
      </c>
      <c r="AQ494" s="56">
        <f t="shared" si="134"/>
        <v>658.71</v>
      </c>
    </row>
    <row r="495" spans="1:43" s="60" customFormat="1" ht="15.75" customHeight="1" outlineLevel="2">
      <c r="A495" s="27">
        <v>7</v>
      </c>
      <c r="B495" s="119" t="s">
        <v>84</v>
      </c>
      <c r="C495" s="127" t="s">
        <v>572</v>
      </c>
      <c r="D495" s="104" t="s">
        <v>103</v>
      </c>
      <c r="E495" s="28"/>
      <c r="F495" s="142" t="s">
        <v>40</v>
      </c>
      <c r="G495" s="105" t="s">
        <v>28</v>
      </c>
      <c r="H495" s="27">
        <v>24.435</v>
      </c>
      <c r="I495" s="45">
        <v>1.2</v>
      </c>
      <c r="J495" s="55">
        <v>20</v>
      </c>
      <c r="K495" s="55">
        <f t="shared" si="124"/>
        <v>586.4399999999999</v>
      </c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  <c r="AA495" s="224"/>
      <c r="AB495" s="224"/>
      <c r="AC495" s="224"/>
      <c r="AD495" s="224"/>
      <c r="AE495" s="224"/>
      <c r="AF495" s="224"/>
      <c r="AG495" s="224"/>
      <c r="AH495" s="224"/>
      <c r="AI495" s="220">
        <f aca="true" t="shared" si="135" ref="AI495:AQ495">(AH495+58.64)</f>
        <v>58.64</v>
      </c>
      <c r="AJ495" s="56">
        <f t="shared" si="135"/>
        <v>117.28</v>
      </c>
      <c r="AK495" s="56">
        <f t="shared" si="135"/>
        <v>175.92000000000002</v>
      </c>
      <c r="AL495" s="56">
        <f t="shared" si="135"/>
        <v>234.56</v>
      </c>
      <c r="AM495" s="56">
        <f t="shared" si="135"/>
        <v>293.2</v>
      </c>
      <c r="AN495" s="56">
        <f t="shared" si="135"/>
        <v>351.84</v>
      </c>
      <c r="AO495" s="56">
        <f t="shared" si="135"/>
        <v>410.47999999999996</v>
      </c>
      <c r="AP495" s="56">
        <f t="shared" si="135"/>
        <v>469.11999999999995</v>
      </c>
      <c r="AQ495" s="56">
        <f t="shared" si="135"/>
        <v>527.76</v>
      </c>
    </row>
    <row r="496" spans="1:43" s="60" customFormat="1" ht="15.75" customHeight="1" outlineLevel="2">
      <c r="A496" s="27">
        <v>8</v>
      </c>
      <c r="B496" s="119" t="s">
        <v>84</v>
      </c>
      <c r="C496" s="127" t="s">
        <v>573</v>
      </c>
      <c r="D496" s="104" t="s">
        <v>575</v>
      </c>
      <c r="E496" s="28"/>
      <c r="F496" s="142" t="s">
        <v>40</v>
      </c>
      <c r="G496" s="105" t="s">
        <v>28</v>
      </c>
      <c r="H496" s="27">
        <v>13.467</v>
      </c>
      <c r="I496" s="45">
        <v>1.2</v>
      </c>
      <c r="J496" s="55">
        <v>20</v>
      </c>
      <c r="K496" s="55">
        <f t="shared" si="124"/>
        <v>323.20799999999997</v>
      </c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  <c r="AA496" s="224"/>
      <c r="AB496" s="224"/>
      <c r="AC496" s="224"/>
      <c r="AD496" s="224"/>
      <c r="AE496" s="224"/>
      <c r="AF496" s="224"/>
      <c r="AG496" s="224"/>
      <c r="AH496" s="224"/>
      <c r="AI496" s="220">
        <f aca="true" t="shared" si="136" ref="AI496:AQ496">(AH496+32.32)</f>
        <v>32.32</v>
      </c>
      <c r="AJ496" s="56">
        <f t="shared" si="136"/>
        <v>64.64</v>
      </c>
      <c r="AK496" s="56">
        <f t="shared" si="136"/>
        <v>96.96000000000001</v>
      </c>
      <c r="AL496" s="56">
        <f t="shared" si="136"/>
        <v>129.28</v>
      </c>
      <c r="AM496" s="56">
        <f t="shared" si="136"/>
        <v>161.6</v>
      </c>
      <c r="AN496" s="56">
        <f t="shared" si="136"/>
        <v>193.92</v>
      </c>
      <c r="AO496" s="56">
        <f t="shared" si="136"/>
        <v>226.23999999999998</v>
      </c>
      <c r="AP496" s="56">
        <f t="shared" si="136"/>
        <v>258.56</v>
      </c>
      <c r="AQ496" s="56">
        <f t="shared" si="136"/>
        <v>290.88</v>
      </c>
    </row>
    <row r="497" spans="1:41" s="60" customFormat="1" ht="15.75" customHeight="1" outlineLevel="2">
      <c r="A497" s="27">
        <v>9</v>
      </c>
      <c r="B497" s="119" t="s">
        <v>84</v>
      </c>
      <c r="C497" s="127" t="s">
        <v>574</v>
      </c>
      <c r="D497" s="104" t="s">
        <v>103</v>
      </c>
      <c r="E497" s="28"/>
      <c r="F497" s="35" t="s">
        <v>16</v>
      </c>
      <c r="G497" s="105" t="s">
        <v>28</v>
      </c>
      <c r="H497" s="27">
        <v>10.801</v>
      </c>
      <c r="I497" s="45">
        <v>1.2</v>
      </c>
      <c r="J497" s="55">
        <v>20</v>
      </c>
      <c r="K497" s="55">
        <f t="shared" si="124"/>
        <v>259.224</v>
      </c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  <c r="AA497" s="224"/>
      <c r="AB497" s="224"/>
      <c r="AC497" s="224"/>
      <c r="AD497" s="224"/>
      <c r="AE497" s="224"/>
      <c r="AF497" s="224"/>
      <c r="AG497" s="224"/>
      <c r="AH497" s="224"/>
      <c r="AI497" s="220">
        <f aca="true" t="shared" si="137" ref="AI497:AO497">(AH497+25.92)</f>
        <v>25.92</v>
      </c>
      <c r="AJ497" s="56">
        <f t="shared" si="137"/>
        <v>51.84</v>
      </c>
      <c r="AK497" s="56">
        <f t="shared" si="137"/>
        <v>77.76</v>
      </c>
      <c r="AL497" s="56">
        <f t="shared" si="137"/>
        <v>103.68</v>
      </c>
      <c r="AM497" s="56">
        <f t="shared" si="137"/>
        <v>129.60000000000002</v>
      </c>
      <c r="AN497" s="56">
        <f t="shared" si="137"/>
        <v>155.52000000000004</v>
      </c>
      <c r="AO497" s="56">
        <f t="shared" si="137"/>
        <v>181.44000000000005</v>
      </c>
    </row>
    <row r="498" spans="1:41" s="60" customFormat="1" ht="15.75" customHeight="1" outlineLevel="2">
      <c r="A498" s="27">
        <v>10</v>
      </c>
      <c r="B498" s="119" t="s">
        <v>84</v>
      </c>
      <c r="C498" s="127" t="s">
        <v>576</v>
      </c>
      <c r="D498" s="104" t="s">
        <v>577</v>
      </c>
      <c r="E498" s="28"/>
      <c r="F498" s="142" t="s">
        <v>40</v>
      </c>
      <c r="G498" s="105" t="s">
        <v>28</v>
      </c>
      <c r="H498" s="27">
        <v>18.277</v>
      </c>
      <c r="I498" s="45">
        <v>1.2</v>
      </c>
      <c r="J498" s="55">
        <v>20</v>
      </c>
      <c r="K498" s="55">
        <f t="shared" si="124"/>
        <v>438.648</v>
      </c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  <c r="AA498" s="224"/>
      <c r="AB498" s="224"/>
      <c r="AC498" s="224"/>
      <c r="AD498" s="224"/>
      <c r="AE498" s="224"/>
      <c r="AF498" s="224"/>
      <c r="AG498" s="224"/>
      <c r="AH498" s="224"/>
      <c r="AI498" s="220">
        <f aca="true" t="shared" si="138" ref="AI498:AO498">(AH498+43.87)</f>
        <v>43.87</v>
      </c>
      <c r="AJ498" s="56">
        <f t="shared" si="138"/>
        <v>87.74</v>
      </c>
      <c r="AK498" s="56">
        <f t="shared" si="138"/>
        <v>131.60999999999999</v>
      </c>
      <c r="AL498" s="56">
        <f t="shared" si="138"/>
        <v>175.48</v>
      </c>
      <c r="AM498" s="56">
        <f t="shared" si="138"/>
        <v>219.35</v>
      </c>
      <c r="AN498" s="56">
        <f t="shared" si="138"/>
        <v>263.21999999999997</v>
      </c>
      <c r="AO498" s="56">
        <f t="shared" si="138"/>
        <v>307.09</v>
      </c>
    </row>
    <row r="499" spans="1:40" s="60" customFormat="1" ht="15.75" customHeight="1" outlineLevel="2">
      <c r="A499" s="27">
        <v>11</v>
      </c>
      <c r="B499" s="119" t="s">
        <v>84</v>
      </c>
      <c r="C499" s="127" t="s">
        <v>586</v>
      </c>
      <c r="D499" s="104" t="s">
        <v>104</v>
      </c>
      <c r="E499" s="28"/>
      <c r="F499" s="142" t="s">
        <v>40</v>
      </c>
      <c r="G499" s="105" t="s">
        <v>28</v>
      </c>
      <c r="H499" s="76">
        <v>27.242</v>
      </c>
      <c r="I499" s="45">
        <v>1.2</v>
      </c>
      <c r="J499" s="55">
        <v>20</v>
      </c>
      <c r="K499" s="55">
        <f t="shared" si="124"/>
        <v>653.808</v>
      </c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  <c r="AA499" s="224"/>
      <c r="AB499" s="224"/>
      <c r="AC499" s="224"/>
      <c r="AD499" s="224"/>
      <c r="AE499" s="224"/>
      <c r="AF499" s="224"/>
      <c r="AG499" s="224"/>
      <c r="AH499" s="224"/>
      <c r="AI499" s="220">
        <f aca="true" t="shared" si="139" ref="AI499:AN499">(AH499+65.38)</f>
        <v>65.38</v>
      </c>
      <c r="AJ499" s="56">
        <f t="shared" si="139"/>
        <v>130.76</v>
      </c>
      <c r="AK499" s="56">
        <f t="shared" si="139"/>
        <v>196.14</v>
      </c>
      <c r="AL499" s="56">
        <f t="shared" si="139"/>
        <v>261.52</v>
      </c>
      <c r="AM499" s="56">
        <f t="shared" si="139"/>
        <v>326.9</v>
      </c>
      <c r="AN499" s="56">
        <f t="shared" si="139"/>
        <v>392.28</v>
      </c>
    </row>
    <row r="500" spans="1:34" s="60" customFormat="1" ht="15.75" customHeight="1" outlineLevel="1">
      <c r="A500" s="27"/>
      <c r="B500" s="125" t="s">
        <v>590</v>
      </c>
      <c r="C500" s="127"/>
      <c r="D500" s="104"/>
      <c r="E500" s="28"/>
      <c r="F500" s="142"/>
      <c r="G500" s="105"/>
      <c r="H500" s="90">
        <f>SUBTOTAL(9,H489:H499)</f>
        <v>281.966</v>
      </c>
      <c r="I500" s="45"/>
      <c r="J500" s="57"/>
      <c r="K500" s="57"/>
      <c r="L500" s="94"/>
      <c r="M500" s="94"/>
      <c r="N500" s="95"/>
      <c r="O500" s="225"/>
      <c r="P500" s="225"/>
      <c r="Q500" s="225"/>
      <c r="R500" s="225"/>
      <c r="S500" s="225"/>
      <c r="T500" s="225"/>
      <c r="U500" s="225"/>
      <c r="V500" s="225"/>
      <c r="W500" s="225"/>
      <c r="X500" s="225"/>
      <c r="Y500" s="225"/>
      <c r="Z500" s="225"/>
      <c r="AA500" s="225"/>
      <c r="AB500" s="225"/>
      <c r="AC500" s="225"/>
      <c r="AD500" s="225"/>
      <c r="AE500" s="225"/>
      <c r="AF500" s="225"/>
      <c r="AG500" s="225"/>
      <c r="AH500" s="225"/>
    </row>
    <row r="501" spans="1:70" s="13" customFormat="1" ht="15.75" customHeight="1" outlineLevel="1">
      <c r="A501" s="39"/>
      <c r="B501" s="48"/>
      <c r="C501" s="75"/>
      <c r="D501" s="27"/>
      <c r="E501" s="28"/>
      <c r="F501" s="142"/>
      <c r="G501" s="100"/>
      <c r="H501" s="76"/>
      <c r="I501" s="45"/>
      <c r="J501" s="57"/>
      <c r="K501" s="57"/>
      <c r="L501" s="94"/>
      <c r="M501" s="94"/>
      <c r="N501" s="95"/>
      <c r="O501" s="225"/>
      <c r="P501" s="225"/>
      <c r="Q501" s="225"/>
      <c r="R501" s="225"/>
      <c r="S501" s="225"/>
      <c r="T501" s="225"/>
      <c r="U501" s="225"/>
      <c r="V501" s="225"/>
      <c r="W501" s="225"/>
      <c r="X501" s="225"/>
      <c r="Y501" s="225"/>
      <c r="Z501" s="225"/>
      <c r="AA501" s="225"/>
      <c r="AB501" s="225"/>
      <c r="AC501" s="225"/>
      <c r="AD501" s="225"/>
      <c r="AE501" s="225"/>
      <c r="AF501" s="225"/>
      <c r="AG501" s="225"/>
      <c r="AH501" s="225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</row>
    <row r="502" spans="1:70" s="13" customFormat="1" ht="15.75" customHeight="1" outlineLevel="1">
      <c r="A502" s="128"/>
      <c r="B502" s="50" t="s">
        <v>90</v>
      </c>
      <c r="C502" s="93"/>
      <c r="D502" s="138"/>
      <c r="E502" s="51"/>
      <c r="F502" s="52"/>
      <c r="G502" s="129"/>
      <c r="H502" s="130">
        <v>2973.022</v>
      </c>
      <c r="I502" s="94"/>
      <c r="J502" s="94"/>
      <c r="K502" s="94"/>
      <c r="L502" s="94"/>
      <c r="M502" s="94"/>
      <c r="N502" s="95"/>
      <c r="O502" s="225"/>
      <c r="P502" s="225"/>
      <c r="Q502" s="225"/>
      <c r="R502" s="225"/>
      <c r="S502" s="225"/>
      <c r="T502" s="225"/>
      <c r="U502" s="225"/>
      <c r="V502" s="225"/>
      <c r="W502" s="225"/>
      <c r="X502" s="225"/>
      <c r="Y502" s="225"/>
      <c r="Z502" s="225"/>
      <c r="AA502" s="225"/>
      <c r="AB502" s="225"/>
      <c r="AC502" s="225"/>
      <c r="AD502" s="225"/>
      <c r="AE502" s="225"/>
      <c r="AF502" s="225"/>
      <c r="AG502" s="225"/>
      <c r="AH502" s="225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</row>
    <row r="503" spans="8:11" ht="15.75" customHeight="1">
      <c r="H503" s="138"/>
      <c r="K503" s="62"/>
    </row>
    <row r="504" spans="8:11" ht="15.75" customHeight="1">
      <c r="H504" s="138"/>
      <c r="K504" s="62"/>
    </row>
    <row r="505" spans="8:11" ht="38.25" customHeight="1">
      <c r="H505" s="138"/>
      <c r="K505" s="62"/>
    </row>
    <row r="506" spans="8:11" ht="15.75" customHeight="1">
      <c r="H506" s="138"/>
      <c r="K506" s="62"/>
    </row>
    <row r="507" spans="8:11" ht="37.5" customHeight="1">
      <c r="H507" s="138"/>
      <c r="K507" s="62"/>
    </row>
    <row r="508" spans="1:70" s="53" customFormat="1" ht="15.75" customHeight="1">
      <c r="A508" s="20"/>
      <c r="B508" s="19"/>
      <c r="C508" s="64"/>
      <c r="D508" s="20"/>
      <c r="E508" s="21"/>
      <c r="F508" s="19"/>
      <c r="G508" s="19"/>
      <c r="H508" s="138"/>
      <c r="I508" s="62"/>
      <c r="J508" s="62"/>
      <c r="K508" s="62"/>
      <c r="L508" s="62"/>
      <c r="M508" s="62"/>
      <c r="N508" s="97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</row>
    <row r="509" spans="1:70" s="53" customFormat="1" ht="15.75" customHeight="1">
      <c r="A509" s="20"/>
      <c r="B509" s="19"/>
      <c r="C509" s="64"/>
      <c r="D509" s="20"/>
      <c r="E509" s="21"/>
      <c r="F509" s="19"/>
      <c r="G509" s="19"/>
      <c r="H509" s="138"/>
      <c r="I509" s="62"/>
      <c r="J509" s="62"/>
      <c r="K509" s="62"/>
      <c r="L509" s="62"/>
      <c r="M509" s="62"/>
      <c r="N509" s="97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</row>
    <row r="510" spans="1:70" s="53" customFormat="1" ht="15.75" customHeight="1">
      <c r="A510" s="20"/>
      <c r="B510" s="19"/>
      <c r="C510" s="64"/>
      <c r="D510" s="20"/>
      <c r="E510" s="21"/>
      <c r="F510" s="19"/>
      <c r="G510" s="19"/>
      <c r="H510" s="138"/>
      <c r="I510" s="62"/>
      <c r="J510" s="62"/>
      <c r="K510" s="62"/>
      <c r="L510" s="62"/>
      <c r="M510" s="62"/>
      <c r="N510" s="97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</row>
    <row r="511" spans="1:70" s="53" customFormat="1" ht="15.75" customHeight="1">
      <c r="A511" s="20"/>
      <c r="B511" s="19"/>
      <c r="C511" s="64"/>
      <c r="D511" s="20"/>
      <c r="E511" s="21"/>
      <c r="F511" s="19"/>
      <c r="G511" s="19"/>
      <c r="H511" s="138"/>
      <c r="I511" s="62"/>
      <c r="J511" s="62"/>
      <c r="K511" s="62"/>
      <c r="L511" s="62"/>
      <c r="M511" s="62"/>
      <c r="N511" s="97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</row>
    <row r="512" spans="1:70" s="53" customFormat="1" ht="15.75" customHeight="1">
      <c r="A512" s="20"/>
      <c r="B512" s="19"/>
      <c r="C512" s="64"/>
      <c r="D512" s="20"/>
      <c r="E512" s="21"/>
      <c r="F512" s="19"/>
      <c r="G512" s="19"/>
      <c r="H512" s="138"/>
      <c r="I512" s="62"/>
      <c r="J512" s="62"/>
      <c r="K512" s="62"/>
      <c r="L512" s="62"/>
      <c r="M512" s="62"/>
      <c r="N512" s="97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</row>
    <row r="513" spans="1:70" s="53" customFormat="1" ht="15.75" customHeight="1">
      <c r="A513" s="20"/>
      <c r="B513" s="19"/>
      <c r="C513" s="64"/>
      <c r="D513" s="20"/>
      <c r="E513" s="21"/>
      <c r="F513" s="19"/>
      <c r="G513" s="19"/>
      <c r="H513" s="138"/>
      <c r="I513" s="62"/>
      <c r="J513" s="62"/>
      <c r="K513" s="62"/>
      <c r="L513" s="62"/>
      <c r="M513" s="62"/>
      <c r="N513" s="97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</row>
    <row r="514" spans="1:70" s="53" customFormat="1" ht="15.75" customHeight="1">
      <c r="A514" s="20"/>
      <c r="B514" s="19"/>
      <c r="C514" s="64"/>
      <c r="D514" s="20"/>
      <c r="E514" s="21"/>
      <c r="F514" s="19"/>
      <c r="G514" s="19"/>
      <c r="H514" s="138"/>
      <c r="I514" s="62"/>
      <c r="J514" s="62"/>
      <c r="K514" s="62"/>
      <c r="L514" s="62"/>
      <c r="M514" s="62"/>
      <c r="N514" s="97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</row>
    <row r="515" spans="1:70" s="53" customFormat="1" ht="15.75" customHeight="1">
      <c r="A515" s="20"/>
      <c r="B515" s="19"/>
      <c r="C515" s="64"/>
      <c r="D515" s="20"/>
      <c r="E515" s="21"/>
      <c r="F515" s="19"/>
      <c r="G515" s="19"/>
      <c r="H515" s="138"/>
      <c r="I515" s="62"/>
      <c r="J515" s="62"/>
      <c r="K515" s="62"/>
      <c r="L515" s="62"/>
      <c r="M515" s="62"/>
      <c r="N515" s="97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</row>
    <row r="516" spans="1:70" s="53" customFormat="1" ht="15.75" customHeight="1">
      <c r="A516" s="20"/>
      <c r="B516" s="19"/>
      <c r="C516" s="64"/>
      <c r="D516" s="20"/>
      <c r="E516" s="21"/>
      <c r="F516" s="19"/>
      <c r="G516" s="19"/>
      <c r="H516" s="138"/>
      <c r="I516" s="62"/>
      <c r="J516" s="62"/>
      <c r="K516" s="62"/>
      <c r="L516" s="62"/>
      <c r="M516" s="62"/>
      <c r="N516" s="97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</row>
    <row r="517" spans="1:70" s="53" customFormat="1" ht="15.75" customHeight="1">
      <c r="A517" s="20"/>
      <c r="B517" s="19"/>
      <c r="C517" s="64"/>
      <c r="D517" s="20"/>
      <c r="E517" s="21"/>
      <c r="F517" s="19"/>
      <c r="G517" s="19"/>
      <c r="H517" s="138"/>
      <c r="I517" s="62"/>
      <c r="J517" s="62"/>
      <c r="K517" s="62"/>
      <c r="L517" s="62"/>
      <c r="M517" s="62"/>
      <c r="N517" s="97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</row>
    <row r="518" spans="1:70" s="53" customFormat="1" ht="15.75" customHeight="1">
      <c r="A518" s="20"/>
      <c r="B518" s="19"/>
      <c r="C518" s="64"/>
      <c r="D518" s="20"/>
      <c r="E518" s="21"/>
      <c r="F518" s="19"/>
      <c r="G518" s="19"/>
      <c r="H518" s="138"/>
      <c r="I518" s="62"/>
      <c r="J518" s="62"/>
      <c r="K518" s="62"/>
      <c r="L518" s="62"/>
      <c r="M518" s="62"/>
      <c r="N518" s="97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</row>
    <row r="519" spans="1:70" s="53" customFormat="1" ht="15.75" customHeight="1">
      <c r="A519" s="20"/>
      <c r="B519" s="19"/>
      <c r="C519" s="64"/>
      <c r="D519" s="20"/>
      <c r="E519" s="21"/>
      <c r="F519" s="19"/>
      <c r="G519" s="19"/>
      <c r="H519" s="138"/>
      <c r="I519" s="62"/>
      <c r="J519" s="62"/>
      <c r="K519" s="62"/>
      <c r="L519" s="62"/>
      <c r="M519" s="62"/>
      <c r="N519" s="97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</row>
    <row r="520" spans="1:70" s="53" customFormat="1" ht="15.75" customHeight="1">
      <c r="A520" s="20"/>
      <c r="B520" s="19"/>
      <c r="C520" s="64"/>
      <c r="D520" s="20"/>
      <c r="E520" s="21"/>
      <c r="F520" s="19"/>
      <c r="G520" s="19"/>
      <c r="H520" s="138"/>
      <c r="I520" s="62"/>
      <c r="J520" s="62"/>
      <c r="K520" s="62"/>
      <c r="L520" s="62"/>
      <c r="M520" s="62"/>
      <c r="N520" s="97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</row>
    <row r="521" spans="1:70" s="53" customFormat="1" ht="15.75" customHeight="1">
      <c r="A521" s="138"/>
      <c r="B521" s="52"/>
      <c r="C521" s="232"/>
      <c r="D521" s="138"/>
      <c r="E521" s="51"/>
      <c r="F521" s="52"/>
      <c r="G521" s="52"/>
      <c r="H521" s="138"/>
      <c r="I521" s="62"/>
      <c r="J521" s="62"/>
      <c r="K521" s="62"/>
      <c r="L521" s="62"/>
      <c r="M521" s="62"/>
      <c r="N521" s="97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</row>
    <row r="522" spans="1:70" s="53" customFormat="1" ht="15.75" customHeight="1">
      <c r="A522" s="138"/>
      <c r="B522" s="52"/>
      <c r="C522" s="232"/>
      <c r="D522" s="138"/>
      <c r="E522" s="51"/>
      <c r="F522" s="52"/>
      <c r="G522" s="52"/>
      <c r="H522" s="138"/>
      <c r="I522" s="62"/>
      <c r="J522" s="62"/>
      <c r="K522" s="62"/>
      <c r="L522" s="62"/>
      <c r="M522" s="62"/>
      <c r="N522" s="97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</row>
    <row r="523" spans="1:70" s="53" customFormat="1" ht="15.75" customHeight="1">
      <c r="A523" s="138"/>
      <c r="B523" s="52"/>
      <c r="C523" s="232"/>
      <c r="D523" s="138"/>
      <c r="E523" s="51"/>
      <c r="F523" s="52"/>
      <c r="G523" s="52"/>
      <c r="H523" s="138"/>
      <c r="I523" s="62"/>
      <c r="J523" s="62"/>
      <c r="K523" s="62"/>
      <c r="L523" s="62"/>
      <c r="M523" s="62"/>
      <c r="N523" s="97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</row>
    <row r="524" spans="1:70" s="53" customFormat="1" ht="15.75" customHeight="1">
      <c r="A524" s="20"/>
      <c r="B524" s="19"/>
      <c r="C524" s="64"/>
      <c r="D524" s="20"/>
      <c r="E524" s="21"/>
      <c r="F524" s="19"/>
      <c r="G524" s="19"/>
      <c r="H524" s="99"/>
      <c r="I524" s="62"/>
      <c r="J524" s="62"/>
      <c r="K524" s="62"/>
      <c r="L524" s="62"/>
      <c r="M524" s="62"/>
      <c r="N524" s="97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</row>
    <row r="525" spans="1:70" s="53" customFormat="1" ht="15.75" customHeight="1">
      <c r="A525" s="20"/>
      <c r="B525" s="19"/>
      <c r="C525" s="64"/>
      <c r="D525" s="20"/>
      <c r="E525" s="21"/>
      <c r="F525" s="19"/>
      <c r="G525" s="19"/>
      <c r="H525" s="99"/>
      <c r="I525" s="62"/>
      <c r="J525" s="62"/>
      <c r="K525" s="62"/>
      <c r="L525" s="62"/>
      <c r="M525" s="62"/>
      <c r="N525" s="97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</row>
    <row r="526" ht="15.75" customHeight="1">
      <c r="K526" s="62"/>
    </row>
    <row r="527" ht="15.75" customHeight="1">
      <c r="K527" s="62"/>
    </row>
    <row r="528" ht="15.75" customHeight="1">
      <c r="K528" s="62"/>
    </row>
    <row r="529" ht="15.75" customHeight="1">
      <c r="K529" s="62"/>
    </row>
    <row r="530" ht="15.75" customHeight="1">
      <c r="K530" s="62"/>
    </row>
    <row r="531" ht="15.75" customHeight="1">
      <c r="K531" s="62"/>
    </row>
    <row r="532" ht="15.75" customHeight="1">
      <c r="K532" s="62"/>
    </row>
    <row r="533" ht="15.75" customHeight="1">
      <c r="K533" s="62"/>
    </row>
    <row r="534" ht="15.75" customHeight="1">
      <c r="K534" s="62"/>
    </row>
    <row r="535" ht="15.75" customHeight="1">
      <c r="K535" s="62"/>
    </row>
    <row r="536" ht="15.75" customHeight="1">
      <c r="K536" s="62"/>
    </row>
    <row r="537" ht="15.75" customHeight="1">
      <c r="K537" s="62"/>
    </row>
    <row r="538" ht="15.75" customHeight="1">
      <c r="K538" s="62"/>
    </row>
    <row r="539" ht="15.75" customHeight="1">
      <c r="K539" s="62"/>
    </row>
    <row r="540" ht="15.75" customHeight="1">
      <c r="K540" s="62"/>
    </row>
    <row r="541" ht="15.75" customHeight="1">
      <c r="K541" s="62"/>
    </row>
    <row r="542" ht="15.75" customHeight="1">
      <c r="K542" s="62"/>
    </row>
    <row r="543" ht="15.75" customHeight="1">
      <c r="K543" s="62"/>
    </row>
    <row r="544" ht="15.75" customHeight="1">
      <c r="K544" s="62"/>
    </row>
    <row r="545" ht="15.75" customHeight="1">
      <c r="K545" s="62"/>
    </row>
    <row r="546" ht="15.75" customHeight="1">
      <c r="K546" s="62"/>
    </row>
    <row r="547" ht="15.75" customHeight="1">
      <c r="K547" s="62"/>
    </row>
    <row r="548" ht="15.75" customHeight="1">
      <c r="K548" s="62"/>
    </row>
    <row r="549" ht="15.75" customHeight="1">
      <c r="K549" s="62"/>
    </row>
    <row r="550" ht="15.75" customHeight="1">
      <c r="K550" s="62"/>
    </row>
    <row r="551" ht="15.75" customHeight="1">
      <c r="K551" s="62"/>
    </row>
    <row r="552" ht="15.75" customHeight="1">
      <c r="K552" s="62"/>
    </row>
    <row r="553" ht="15.75" customHeight="1">
      <c r="K553" s="62"/>
    </row>
    <row r="554" ht="15.75" customHeight="1">
      <c r="K554" s="62"/>
    </row>
    <row r="555" ht="15.75" customHeight="1">
      <c r="K555" s="62"/>
    </row>
    <row r="556" ht="15.75" customHeight="1">
      <c r="K556" s="62"/>
    </row>
    <row r="557" ht="15.75" customHeight="1">
      <c r="K557" s="62"/>
    </row>
    <row r="558" ht="15.75" customHeight="1">
      <c r="K558" s="62"/>
    </row>
  </sheetData>
  <sheetProtection/>
  <mergeCells count="11">
    <mergeCell ref="A9:A10"/>
    <mergeCell ref="B9:B10"/>
    <mergeCell ref="C9:C10"/>
    <mergeCell ref="D9:D10"/>
    <mergeCell ref="E9:E10"/>
    <mergeCell ref="G9:G10"/>
    <mergeCell ref="H9:H10"/>
    <mergeCell ref="B4:H4"/>
    <mergeCell ref="B5:H5"/>
    <mergeCell ref="B6:H6"/>
    <mergeCell ref="B7:H7"/>
  </mergeCells>
  <dataValidations count="1">
    <dataValidation allowBlank="1" showInputMessage="1" showErrorMessage="1" errorTitle="категория" sqref="D67:D68 D267:D268 I317:I325 I167 I35:I41 I150:I159 I161 I163 I188 I190 I204 I206 I210 I212 I215 I218:I219 I221:I223 I225:I228 I242 I246 I258 I260 I267:I268 I275:I278 I280:I284 I296 I300 I303:I308 I310:I311 I313:I314 I15 D58:D61 I71:I79 I85 I60:I65 E15:F28 I17:I30 D46:D52 F48:F52 I46:I55 I170:I181"/>
  </dataValidation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r:id="rId1"/>
  <headerFoot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Галя Янузова</cp:lastModifiedBy>
  <cp:lastPrinted>2024-06-11T05:56:42Z</cp:lastPrinted>
  <dcterms:created xsi:type="dcterms:W3CDTF">2015-01-27T07:02:23Z</dcterms:created>
  <dcterms:modified xsi:type="dcterms:W3CDTF">2024-07-15T12:56:22Z</dcterms:modified>
  <cp:category/>
  <cp:version/>
  <cp:contentType/>
  <cp:contentStatus/>
</cp:coreProperties>
</file>